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763" firstSheet="3" activeTab="12"/>
  </bookViews>
  <sheets>
    <sheet name="standard" sheetId="1" r:id="rId1"/>
    <sheet name="tabella vf2005" sheetId="2" state="hidden" r:id="rId2"/>
    <sheet name="tabella VF13" sheetId="3" r:id="rId3"/>
    <sheet name="Abaco" sheetId="4" r:id="rId4"/>
    <sheet name="zone convenzionate" sheetId="5" r:id="rId5"/>
    <sheet name="detrazioni U1 e U2" sheetId="6" r:id="rId6"/>
    <sheet name="tabella A" sheetId="7" r:id="rId7"/>
    <sheet name="tabella B" sheetId="8" r:id="rId8"/>
    <sheet name="tabella C" sheetId="9" r:id="rId9"/>
    <sheet name="tabella D " sheetId="10" r:id="rId10"/>
    <sheet name="tabella E " sheetId="11" r:id="rId11"/>
    <sheet name="calcolo U1 e U2" sheetId="12" r:id="rId12"/>
    <sheet name="calcolo costo di costruzione-A-" sheetId="13" r:id="rId13"/>
    <sheet name="All . B" sheetId="14" r:id="rId14"/>
    <sheet name="All. D" sheetId="15" r:id="rId15"/>
    <sheet name="riepilogo-A-P" sheetId="16" r:id="rId16"/>
    <sheet name="DATI" sheetId="17" state="hidden" r:id="rId17"/>
  </sheets>
  <definedNames>
    <definedName name="_xlnm.Print_Area" localSheetId="3">'Abaco'!$A$1:$K$59</definedName>
    <definedName name="_xlnm.Print_Area" localSheetId="13">'All . B'!$A$1:$G$52</definedName>
    <definedName name="_xlnm.Print_Area" localSheetId="14">'All. D'!$A$1:$G$47</definedName>
    <definedName name="_xlnm.Print_Area" localSheetId="12">'calcolo costo di costruzione-A-'!$A$1:$I$55</definedName>
    <definedName name="_xlnm.Print_Area" localSheetId="11">'calcolo U1 e U2'!$A$1:$I$29</definedName>
    <definedName name="_xlnm.Print_Area" localSheetId="5">'detrazioni U1 e U2'!$A$1:$L$66</definedName>
    <definedName name="_xlnm.Print_Area" localSheetId="15">'riepilogo-A-P'!$A$1:$I$42</definedName>
    <definedName name="_xlnm.Print_Area" localSheetId="0">'standard'!$A$1:$K$71</definedName>
    <definedName name="_xlnm.Print_Area" localSheetId="6">'tabella A'!$A$1:$H$31</definedName>
    <definedName name="_xlnm.Print_Area" localSheetId="7">'tabella B'!$A$1:$H$73</definedName>
    <definedName name="_xlnm.Print_Area" localSheetId="8">'tabella C'!$A$1:$H$46</definedName>
    <definedName name="_xlnm.Print_Area" localSheetId="9">'tabella D '!$A$1:$C$32</definedName>
    <definedName name="_xlnm.Print_Area" localSheetId="10">'tabella E '!$A$1:$H$31</definedName>
    <definedName name="_xlnm.Print_Area" localSheetId="2">'tabella VF13'!$A$1:$BV$58</definedName>
    <definedName name="_xlnm.Print_Area" localSheetId="1">'tabella vf2005'!$A$1:$O$33</definedName>
    <definedName name="_xlnm.Print_Area" localSheetId="4">'zone convenzionate'!$A$1:$J$10</definedName>
  </definedNames>
  <calcPr fullCalcOnLoad="1"/>
</workbook>
</file>

<file path=xl/sharedStrings.xml><?xml version="1.0" encoding="utf-8"?>
<sst xmlns="http://schemas.openxmlformats.org/spreadsheetml/2006/main" count="1236" uniqueCount="694">
  <si>
    <t>Alloggio</t>
  </si>
  <si>
    <t>n° vano</t>
  </si>
  <si>
    <t>destinazione vano</t>
  </si>
  <si>
    <t>s.u.a.</t>
  </si>
  <si>
    <t>s.n.r.</t>
  </si>
  <si>
    <t>60% di s.n.r.</t>
  </si>
  <si>
    <t>totale S.C. mq.</t>
  </si>
  <si>
    <t>totali mq.</t>
  </si>
  <si>
    <t>dimensioni nette vano</t>
  </si>
  <si>
    <t>ABACO DELLE SUPERFICI AI FINI DELLA DETERMINAZIONE DEL COSTO DI COSTRUZIONE DI NUOVI EDIFICI</t>
  </si>
  <si>
    <t>(D.M. n° 801 DEL 10/05/1977) FABBRICATI AD USO CIVILE ABITAZIONE.</t>
  </si>
  <si>
    <t>ALLEGATO 4</t>
  </si>
  <si>
    <t xml:space="preserve">Il richiedente dichiara che la destinazione d'uso dei </t>
  </si>
  <si>
    <t>singoli vani così come indicata nel progetto e nella</t>
  </si>
  <si>
    <t>presente tabella corrisponde a verità e si impegna a</t>
  </si>
  <si>
    <t>non modificarla se non previa  autorizzazione del</t>
  </si>
  <si>
    <t>Comune.</t>
  </si>
  <si>
    <t>(firma del richiedente)</t>
  </si>
  <si>
    <t>Progetto:</t>
  </si>
  <si>
    <t>Proprietà:</t>
  </si>
  <si>
    <t>Ubicazione:</t>
  </si>
  <si>
    <t>S.u.a. = superficie utile abitabile, è costituita dalla superficie</t>
  </si>
  <si>
    <t>di pavimento degli alloggi e degli accessori interni, misurata</t>
  </si>
  <si>
    <t>al netto dei muri perimetrali e di quelli interni, delle soglie di</t>
  </si>
  <si>
    <t>passaggio da un vano all'altro, degli sguinci di porte e finestre</t>
  </si>
  <si>
    <t>e delle scale interne la cui superficie in proiezione va calcolata</t>
  </si>
  <si>
    <t>una volta sola ed inserita nella s.n.r.</t>
  </si>
  <si>
    <t>S.n.r. = superficie non residenziale, è costituita dalla superficie</t>
  </si>
  <si>
    <t>netta risultante dalla samma delle superfici non residenziali di</t>
  </si>
  <si>
    <t>pertinenza dell'organismo abitativo quali androni di ingresso,</t>
  </si>
  <si>
    <t xml:space="preserve">porticati liberi, escluo quelli ad uso pubblico, volumi tecnici, </t>
  </si>
  <si>
    <t xml:space="preserve">rimesse o posti macchina coperti, centrali termiche anche </t>
  </si>
  <si>
    <t>singole quando ubicate in locali non abitabili, misurate al netto</t>
  </si>
  <si>
    <t>di murature, pilastri, tramezzi, sguinci e vani porta e finestre.</t>
  </si>
  <si>
    <t>Sono esclusi dal calcolo e quindi non computabili nella s.n.r.</t>
  </si>
  <si>
    <t>i locali sottotetto aventi altezza inferiore a ml. 2,00.</t>
  </si>
  <si>
    <t>S.C. =superficie complessiva = s.u.a. + 60% di s.n.r.</t>
  </si>
  <si>
    <t>(Il Progettista compilatore - TIMBRO E FIRMA)</t>
  </si>
  <si>
    <t>DEFINIZIONI (vedi delibera C.C. n°5/2000 - 6.1.a)</t>
  </si>
  <si>
    <t>tot. detraz.</t>
  </si>
  <si>
    <t>per U1</t>
  </si>
  <si>
    <t>per U2</t>
  </si>
  <si>
    <t>NO</t>
  </si>
  <si>
    <t>SI</t>
  </si>
  <si>
    <t>U1 -100%</t>
  </si>
  <si>
    <t>U2 -100%</t>
  </si>
  <si>
    <t>TOTALE DETRAZIONI</t>
  </si>
  <si>
    <t>ALTRE DETRAZIONI DA APPLICARE AGLI ONERI DI URBANIZZAZIONE (U1 E U2)</t>
  </si>
  <si>
    <t>*</t>
  </si>
  <si>
    <t xml:space="preserve">L' INTERVENTO E' SOGGETTO ALLA MONETIZZAZIONE DELLE </t>
  </si>
  <si>
    <t>se SI</t>
  </si>
  <si>
    <t>INTERVENTO RESIDENZIALE (P.)</t>
  </si>
  <si>
    <t>U1 - 10%</t>
  </si>
  <si>
    <t>INTERVENTO NON RESIDENZIALE (P.)</t>
  </si>
  <si>
    <t>U1 - 12%</t>
  </si>
  <si>
    <t>INTERVENTO NON RESIDENZIALE (V.)</t>
  </si>
  <si>
    <t>U1 - 4%</t>
  </si>
  <si>
    <t>L'INTERVENTO E' SOGGETTO ALLA REALIZZAZIONE DELLE</t>
  </si>
  <si>
    <t>U1 - 84%</t>
  </si>
  <si>
    <t>U1 - 96%</t>
  </si>
  <si>
    <t>INTERVENTO RESIDENZIALE IN ZONA AGRICOLA  O FRAZIONI MINORI</t>
  </si>
  <si>
    <t>razioni minori : Anita/Bando/Boccaleone/Campotto/Ospital Monacale/Traghetto)</t>
  </si>
  <si>
    <t>U2 - 30%</t>
  </si>
  <si>
    <t>U2 - 50%</t>
  </si>
  <si>
    <t xml:space="preserve">INTERVENTO PER RESIDENZA ANZIANI E/O </t>
  </si>
  <si>
    <t xml:space="preserve">STRUTTURE DI DEPOSITO O RICOVERO ATTREZZI PER COMMERCIO </t>
  </si>
  <si>
    <t>MAGAZZINI MATERIE PRIME, SEMILAVORATI E PRODOTTI FINITI</t>
  </si>
  <si>
    <t>INTERVENTO IN ZONA P.I.P.</t>
  </si>
  <si>
    <t>U2 - 20%</t>
  </si>
  <si>
    <t>ATTIVITA' COMMERCIALI SVOLTE DA COOPERATIVE DI CONSUMO O</t>
  </si>
  <si>
    <t>DA DETTAGLIANTI ASSOCIATI</t>
  </si>
  <si>
    <t>CENTRI COMMERCIALI, PRODUTTIVI E INFRASTRUTTURALI</t>
  </si>
  <si>
    <t xml:space="preserve">REALIZZATI DA ENTI, SOC. O IMPRESE </t>
  </si>
  <si>
    <t>PARAMETRI DEGLI ONERI DI URBANIZZAZIONE</t>
  </si>
  <si>
    <t>Indicare</t>
  </si>
  <si>
    <t>U1</t>
  </si>
  <si>
    <t>U2</t>
  </si>
  <si>
    <t>TABELLA A4</t>
  </si>
  <si>
    <t>in Euro</t>
  </si>
  <si>
    <t>EDILIZIA RESIDENZIALE</t>
  </si>
  <si>
    <t>zona</t>
  </si>
  <si>
    <t>(FUNZIONE ABITATIVA)*</t>
  </si>
  <si>
    <t>A</t>
  </si>
  <si>
    <t>B</t>
  </si>
  <si>
    <t>C</t>
  </si>
  <si>
    <t>D</t>
  </si>
  <si>
    <t>E</t>
  </si>
  <si>
    <t>N.C.</t>
  </si>
  <si>
    <t>If= da 0 a 1 mc/mq</t>
  </si>
  <si>
    <t>If= da 1,01 a 2 mc/mq</t>
  </si>
  <si>
    <t>If= da 2,01 a 3 mc/mq</t>
  </si>
  <si>
    <t>If= oltre 3 mc/mq</t>
  </si>
  <si>
    <t>R.E.</t>
  </si>
  <si>
    <t>con aumento di c.u.</t>
  </si>
  <si>
    <t>senza aumento di c.u.</t>
  </si>
  <si>
    <t>R.E. convenzionato</t>
  </si>
  <si>
    <t>Mutamento d'uso</t>
  </si>
  <si>
    <t>senza trasformazioni fisiche</t>
  </si>
  <si>
    <t>VEDI ART. 16 L.R.6/95 E ART.2,COMMA 60 L.662/96</t>
  </si>
  <si>
    <t>N.C.=nuova costruzione</t>
  </si>
  <si>
    <t>R.E. =interventi di ristrutturazione edilizia</t>
  </si>
  <si>
    <t>* le corrispondenti categorie catastali sono: da A/1 a A/9 - B/1</t>
  </si>
  <si>
    <t>TABELLA B4</t>
  </si>
  <si>
    <t>FUNZIONI DIREZIONALI,FINANZIARIE,</t>
  </si>
  <si>
    <t>ASSICURATIVE,ARTIGIANALI DI SERVIZIO,</t>
  </si>
  <si>
    <t>F</t>
  </si>
  <si>
    <t>FUNZIONI COMMERCIALI, IVI  COMPRESI ESERCIZI</t>
  </si>
  <si>
    <t>PUBBLICI, FUNZIONI PRODUTTIVE DI TIPO</t>
  </si>
  <si>
    <t>MANUFATTURIERO ARTIGIANALE-SOLO</t>
  </si>
  <si>
    <t>SE LABORATORIALI CON SU FINO 200 MQ.-</t>
  </si>
  <si>
    <t>FUNZIONI DI SERVIZIO PRIVATO, PUBBLICO</t>
  </si>
  <si>
    <t>E/O D'USO PUBBLICO,IVI COMPRESE LE</t>
  </si>
  <si>
    <t>SEDI DI ATTIVITA' CULTURALI E DI</t>
  </si>
  <si>
    <t>ISTRUZIONE,RICREATIVE,SANITARIE E DI</t>
  </si>
  <si>
    <t>STUDI PROFESSIONALI.</t>
  </si>
  <si>
    <t>FUNZIONI COMMERCIALI ALL'INGROSSO</t>
  </si>
  <si>
    <t>R.E. CON AUMENTO DI C.U.</t>
  </si>
  <si>
    <t>R.E. SENZA AUMENTO DI C.U.</t>
  </si>
  <si>
    <t>INSEDIAMENTI DI INTERESSE COLLETTIVO e</t>
  </si>
  <si>
    <t>IMPIANTI SPORTIVI ALL'APERTO(L/mq di Ai)</t>
  </si>
  <si>
    <t>MUTAMENTO D'USO SENZA TRASFORMA=</t>
  </si>
  <si>
    <t>ZIONI FISICHE CON AUMENTO DI C.U.</t>
  </si>
  <si>
    <t>N.C. = nuove costruzioni</t>
  </si>
  <si>
    <t>R.E.=interventi di ristrutturazione edilizia</t>
  </si>
  <si>
    <t>*=le corrispondenti categorie catastali sono: A/10-B/2-B/3-B/4-B/5-B/6-C/1-C/2-C/3-C/4-C/6</t>
  </si>
  <si>
    <t>D/1-D/3-D/4-D/5-D/6-D/8-E/1-E/3-E/4-E/7-E/8-E/9</t>
  </si>
  <si>
    <t>TABELLA D4</t>
  </si>
  <si>
    <t>FUNZIONI AGRICOLE</t>
  </si>
  <si>
    <t>DA NON AVENTE TITOLO</t>
  </si>
  <si>
    <t>(ESCLUSA LA RESIDENZA)*</t>
  </si>
  <si>
    <t>+D+S</t>
  </si>
  <si>
    <t>Mutamento d'uso senza trasformazioni</t>
  </si>
  <si>
    <t>vedi art.16 l.r.6/95</t>
  </si>
  <si>
    <t>fisiche con aumento di c.u.</t>
  </si>
  <si>
    <t>e art.2, comma 60</t>
  </si>
  <si>
    <t>N.C.= Nuove costruzioni</t>
  </si>
  <si>
    <t>R.E.= interventi di ristrutturazione edilizia</t>
  </si>
  <si>
    <t>* le corrispondenti categorie catastali sono:F/2-F/3-F/4-F/5-F/6</t>
  </si>
  <si>
    <t>F/10-F/11-F/12-F/13-F/14-F/15-F/16</t>
  </si>
  <si>
    <t xml:space="preserve">D=contrbuto stabilito dal comune per il trattamento e lo </t>
  </si>
  <si>
    <t>smaltimento dei rifiuti solidi, liquidi e gassosi.</t>
  </si>
  <si>
    <t>S=contributo stabilito dal comune per la sistemazione dei</t>
  </si>
  <si>
    <t>luoghi ove ne siano alterate le caratteristiche</t>
  </si>
  <si>
    <t>TABELLA E4</t>
  </si>
  <si>
    <t>FUNZIONI ALBERGHIERE E COMUNQUE</t>
  </si>
  <si>
    <t>PER IL SOGGIORNO TEMPORANEO*</t>
  </si>
  <si>
    <t xml:space="preserve">FUNZIONI ALBERGHIERE </t>
  </si>
  <si>
    <t>INSEDIAMENTI PER LE ATTIVITA'</t>
  </si>
  <si>
    <t>TURISTICHE TEMPORANEE</t>
  </si>
  <si>
    <t>L/MQ DI AREA DI INSEDIAMENTO (Ai)</t>
  </si>
  <si>
    <t>INSEDIAMENTI PER RESIDENZE</t>
  </si>
  <si>
    <t>TURISTICHE</t>
  </si>
  <si>
    <t>*=le corrispondenti categorie catastali sono: D/2</t>
  </si>
  <si>
    <t>€</t>
  </si>
  <si>
    <t>CALCOLO CONTRIBUTO DI COSTRUZIONE</t>
  </si>
  <si>
    <t>URBANIZZAZIONE PRIMARIA E SECONDARIA</t>
  </si>
  <si>
    <t>TAB.</t>
  </si>
  <si>
    <t>€/mq.</t>
  </si>
  <si>
    <t>% di detraz.</t>
  </si>
  <si>
    <t>U1           =€</t>
  </si>
  <si>
    <t>U2           =€</t>
  </si>
  <si>
    <t>U1+U2     =€</t>
  </si>
  <si>
    <t xml:space="preserve"> x mq.</t>
  </si>
  <si>
    <t>tot.parziale</t>
  </si>
  <si>
    <t>U1 =€</t>
  </si>
  <si>
    <t>TOT.COMP.VO PER U1 =</t>
  </si>
  <si>
    <t>U2 =€</t>
  </si>
  <si>
    <t>TOT.COMP.VO PER U2 =</t>
  </si>
  <si>
    <t>ONERI DI URBANIZZAZIONE (U1+U2)</t>
  </si>
  <si>
    <t>[ ]</t>
  </si>
  <si>
    <t xml:space="preserve">VERSAMENTO UNICA SOLUZIONE PER ONERI DI URBANIZZAZIONE (U1+U2) </t>
  </si>
  <si>
    <t>RATEIZZAZIONE ONERI DI URBANIZZAZIONE (U1+U2)</t>
  </si>
  <si>
    <t>1° rata</t>
  </si>
  <si>
    <t>data versamento ………………………(prima della presentazione della DIA)</t>
  </si>
  <si>
    <t>2° rata</t>
  </si>
  <si>
    <t>entro il ………………………………… (entro 6 mesi dal versamento della 1° rata)</t>
  </si>
  <si>
    <t>3° rata</t>
  </si>
  <si>
    <t>entro il ………………………………… (entro 12 mesi dal versamento della 1° rata)</t>
  </si>
  <si>
    <t>4° rata</t>
  </si>
  <si>
    <t>entro il ………………………………… (entro 18 mesi dal versamento della 1° rata)</t>
  </si>
  <si>
    <t>Per i versamenti rateizzati , è allegata alla DIA una fidejussione bancaria o assicurativa, con validità 20 mesi</t>
  </si>
  <si>
    <t xml:space="preserve">e valore pari € </t>
  </si>
  <si>
    <t>corrispondente al 75% dell'importo degli oneri di urbanizzazione maggiorato del 40%,</t>
  </si>
  <si>
    <t>quale sanzione massima prevista dalla L. 448/2001.</t>
  </si>
  <si>
    <r>
      <t>VERSAMENTI D.I.A</t>
    </r>
    <r>
      <rPr>
        <sz val="10"/>
        <rFont val="Arial"/>
        <family val="2"/>
      </rPr>
      <t xml:space="preserve"> (c.di.c. 400 - f.p. E45001)</t>
    </r>
  </si>
  <si>
    <t>Tabella</t>
  </si>
  <si>
    <t>TABELLA C4</t>
  </si>
  <si>
    <t>FUNZIONI PRODUTTIVE DI TIPO MANUFAT=</t>
  </si>
  <si>
    <t>TURIERO,COMPRESE QUELLE ARTIGIANALI</t>
  </si>
  <si>
    <t>DI TIPO LABORATORIALI PER LA PARTE DI</t>
  </si>
  <si>
    <t>SU OLTRE I 200 MQ., INSEDIAMENTI DI TIPO</t>
  </si>
  <si>
    <t>AGRO-INDUSTRIALE E GLI</t>
  </si>
  <si>
    <t>ALLEVAMENTI ZOOTECNICI DI TIPO</t>
  </si>
  <si>
    <t>INTENSIVO*</t>
  </si>
  <si>
    <t>R.E. SENZA  AUMENTO DI C.U.</t>
  </si>
  <si>
    <t>*=le corrispondenti categorie catastali sono: D/1-D/7-F/7-F/8-F/9</t>
  </si>
  <si>
    <t>D=contributo stabilito dal comune per il trattamento e lo smaltimento dei rifiuti solidi,liquidi e gassosi.</t>
  </si>
  <si>
    <t>S=contributo stabilito dal comune per la sistemazione dei luoghi ove ne siano alterate le caratteristiche.</t>
  </si>
  <si>
    <t>sconto</t>
  </si>
  <si>
    <t>abaco</t>
  </si>
  <si>
    <t>Data</t>
  </si>
  <si>
    <t>L. 662/96</t>
  </si>
  <si>
    <t>COSTO DI COSTRUZIONE</t>
  </si>
  <si>
    <t>costo di costruzione base = €</t>
  </si>
  <si>
    <t>[]</t>
  </si>
  <si>
    <t>RESIDENZIALE NUOVA COSTRUZIONE/AMPLIAMENTO</t>
  </si>
  <si>
    <t>all.to B</t>
  </si>
  <si>
    <t>c.c. base= €</t>
  </si>
  <si>
    <t>mq. S.C. =</t>
  </si>
  <si>
    <t>cont.to  = €</t>
  </si>
  <si>
    <t>all.D</t>
  </si>
  <si>
    <t>q.ta c.c.=€</t>
  </si>
  <si>
    <t>RESIDENZIALE RISTRUTTURAZIONE</t>
  </si>
  <si>
    <t>ATTIVITA' NUOVA COSTRUZIONE/AMPLIAMENTO</t>
  </si>
  <si>
    <t xml:space="preserve">des. att.tà </t>
  </si>
  <si>
    <t>coefficiente =</t>
  </si>
  <si>
    <t>cont.to= €</t>
  </si>
  <si>
    <t>quota</t>
  </si>
  <si>
    <t xml:space="preserve">des. Att.tà </t>
  </si>
  <si>
    <t>stima (*)= €</t>
  </si>
  <si>
    <t>(*)computo metrico estimativo da allegare alla DIA/permesso di costruire</t>
  </si>
  <si>
    <t>TOT.COM.VO PER COSTO DI COSTRUZIONE =</t>
  </si>
  <si>
    <t xml:space="preserve">VERSAMENTO UNICA SOLUZIONE PER COSTO DI COSTRUZIONE </t>
  </si>
  <si>
    <t>RATEIZZAZIONE COSTO DI COSTRUZIONE</t>
  </si>
  <si>
    <t>entro il …..……………………   (entro 30 gg dalla data di inizio lavori)</t>
  </si>
  <si>
    <t xml:space="preserve">entro il ………………………………… </t>
  </si>
  <si>
    <t>[ ] entro 30 gg dalla data di fine lavori</t>
  </si>
  <si>
    <t>[ ] entro 3 anni dalla data di inizio lavori anche nel caso</t>
  </si>
  <si>
    <t xml:space="preserve">   in cui le opere non siano ultimate.</t>
  </si>
  <si>
    <t>Per i versamenti rateizzati , è allegata alla DIA una fidejussione bancaria o assicurativa, con validità 3 anni dalla data</t>
  </si>
  <si>
    <t>di inizio lavori indicata sulla DIA e valore pari a:</t>
  </si>
  <si>
    <t>[  ]</t>
  </si>
  <si>
    <t>corrispondente al 100% dell'importo del costo di costruzione maggiorato del 40%,</t>
  </si>
  <si>
    <t>calcolato sulla rata residua maggiorata del 40%, quale sanzione massima prevista dalla</t>
  </si>
  <si>
    <t>L. 448/2001, in quanto la 1° rata è stata versata al momento della presentazione della DIA.</t>
  </si>
  <si>
    <t>COEFICENTI PER COSTO DI COSTRUZIONE DELLE ATTIVITA'</t>
  </si>
  <si>
    <t>Coef.</t>
  </si>
  <si>
    <t>1)</t>
  </si>
  <si>
    <t>2)</t>
  </si>
  <si>
    <t>3)</t>
  </si>
  <si>
    <t>QUOTE PER COSTO DI COSTRUZIONE DELLE ATTIVITA'</t>
  </si>
  <si>
    <t xml:space="preserve">1.1) </t>
  </si>
  <si>
    <t>3.2)</t>
  </si>
  <si>
    <t>3.3)</t>
  </si>
  <si>
    <t>ALLEGATO B della delibera C.C. 5/2000</t>
  </si>
  <si>
    <t>CALCOLO DEL CONTRIBUTO RELATIVO AL COSTO DI COSTRUZIONE PER L'EDILIZIA RESIDENZIALE</t>
  </si>
  <si>
    <t>(NUOVI EDIFICI)</t>
  </si>
  <si>
    <t xml:space="preserve">TABELLA 1 - </t>
  </si>
  <si>
    <t>INCREMENTO PER SUPERFICIE UTILE ABITABILE - i1</t>
  </si>
  <si>
    <t>Classi di</t>
  </si>
  <si>
    <t>Alloggi</t>
  </si>
  <si>
    <t>Superficie utile</t>
  </si>
  <si>
    <t>Rapporto</t>
  </si>
  <si>
    <t>% incremento</t>
  </si>
  <si>
    <t>% di incremento</t>
  </si>
  <si>
    <t>superfici (m2)</t>
  </si>
  <si>
    <t>(n)</t>
  </si>
  <si>
    <t>abitabile (m2)</t>
  </si>
  <si>
    <t>rispetto al</t>
  </si>
  <si>
    <t>(art. 5 -</t>
  </si>
  <si>
    <t>per classi di</t>
  </si>
  <si>
    <t>(art.3-D.M.n.801 del 10.5.77)</t>
  </si>
  <si>
    <t>totale di Su</t>
  </si>
  <si>
    <t>D.M. n.801 del 10.5.77)</t>
  </si>
  <si>
    <t>superfici</t>
  </si>
  <si>
    <t>(1)</t>
  </si>
  <si>
    <t>(2)</t>
  </si>
  <si>
    <t>(3)</t>
  </si>
  <si>
    <t>(4) = (3) : Su</t>
  </si>
  <si>
    <t>(5)</t>
  </si>
  <si>
    <t xml:space="preserve">(6) = (4) x (5) </t>
  </si>
  <si>
    <t>&lt;= 95</t>
  </si>
  <si>
    <t>&gt; 95 fino a 110</t>
  </si>
  <si>
    <t>&gt; 110 fino a 130</t>
  </si>
  <si>
    <t>&gt; 130 fino a 160</t>
  </si>
  <si>
    <t>&gt; 160</t>
  </si>
  <si>
    <t>Somma =</t>
  </si>
  <si>
    <t xml:space="preserve">TABELLA 2 - </t>
  </si>
  <si>
    <t>INCREMENTO PER SERVIZI ED ACCESSORI RELATIVI ALLA RESIDENZA - i2</t>
  </si>
  <si>
    <t>(art. 3 D.M. 10.5.77 n. 801)</t>
  </si>
  <si>
    <t>Intervalli di</t>
  </si>
  <si>
    <t>variabilità del</t>
  </si>
  <si>
    <t>rapporto</t>
  </si>
  <si>
    <t>Ipotesi che ricorre</t>
  </si>
  <si>
    <t>(art. 6-D.M. n.801</t>
  </si>
  <si>
    <t>perc.ale (%)</t>
  </si>
  <si>
    <t>del 10.5.77)</t>
  </si>
  <si>
    <t>(Snr:Su)x100</t>
  </si>
  <si>
    <t>&gt;= 50</t>
  </si>
  <si>
    <t>da &gt; 50 a 75</t>
  </si>
  <si>
    <t>da &gt; 75 a 100</t>
  </si>
  <si>
    <t>&gt; 100</t>
  </si>
  <si>
    <t>I1 + I2 = I</t>
  </si>
  <si>
    <t>Classe edificio</t>
  </si>
  <si>
    <t>Maggiorazione M (*)</t>
  </si>
  <si>
    <t>(art.8 D.M. 10.5.77 n. 801)</t>
  </si>
  <si>
    <t>(*) M = Classi di edifici e relative maggiorazioni percentuali (art. 8 - D.M. 10/5/77 n. 801)</t>
  </si>
  <si>
    <t>% di i fino a 5 inclusa=</t>
  </si>
  <si>
    <t xml:space="preserve">classe I </t>
  </si>
  <si>
    <t>M = 0</t>
  </si>
  <si>
    <t>% di i da 30 a 35 inclusa=</t>
  </si>
  <si>
    <t>classe VII</t>
  </si>
  <si>
    <t>M = 30</t>
  </si>
  <si>
    <t>% di i da 5 a 10 inclusa=</t>
  </si>
  <si>
    <t xml:space="preserve">classe II </t>
  </si>
  <si>
    <t>M = 5</t>
  </si>
  <si>
    <t>% di i da 35 a 40 inclusa=</t>
  </si>
  <si>
    <t>classe VIII</t>
  </si>
  <si>
    <t>M = 35</t>
  </si>
  <si>
    <t>% di i da 10 a 15 inclusa=</t>
  </si>
  <si>
    <t xml:space="preserve">classe III </t>
  </si>
  <si>
    <t>M = 10</t>
  </si>
  <si>
    <t>% di i da 40 a 45 inclusa=</t>
  </si>
  <si>
    <t>classe IX</t>
  </si>
  <si>
    <t>M = 40</t>
  </si>
  <si>
    <t>% di i da 15 a 20 inclusa=</t>
  </si>
  <si>
    <t xml:space="preserve">classe IV </t>
  </si>
  <si>
    <t>M = 15</t>
  </si>
  <si>
    <t>% di i da 45 a 50 inclusa=</t>
  </si>
  <si>
    <t>classe X</t>
  </si>
  <si>
    <t>M = 45</t>
  </si>
  <si>
    <t>% di i da 20 a 25 inclusa=</t>
  </si>
  <si>
    <t>classe V</t>
  </si>
  <si>
    <t>M = 20</t>
  </si>
  <si>
    <t>% di i oltre  50=</t>
  </si>
  <si>
    <t>classe XI</t>
  </si>
  <si>
    <t>M = 50</t>
  </si>
  <si>
    <t>% di i da 25 a 30 inclusa=</t>
  </si>
  <si>
    <t xml:space="preserve">classe VI </t>
  </si>
  <si>
    <t>M = 25</t>
  </si>
  <si>
    <t xml:space="preserve">Costo di costruzione definito dal Comune in base </t>
  </si>
  <si>
    <t>all'allegato A, punto 1.1, della presente delibera :</t>
  </si>
  <si>
    <t>A=£/euro/m2</t>
  </si>
  <si>
    <t>…………………</t>
  </si>
  <si>
    <t>Costo di costruzione maggiorato:</t>
  </si>
  <si>
    <t>B = A x (1 + M/100) =</t>
  </si>
  <si>
    <t>……………………………………………………………………………………………………………………………………</t>
  </si>
  <si>
    <t>B=£/euro/m2</t>
  </si>
  <si>
    <t>CALCOLO DEL CONTRIBUTO DI CONCESSIONE (Cc) RELATIVO AL COSTO DI COSTRUZIONE :</t>
  </si>
  <si>
    <t>Cc = B x (Sc + St) x q =</t>
  </si>
  <si>
    <t>= £/euro/m2</t>
  </si>
  <si>
    <t xml:space="preserve">Nota : </t>
  </si>
  <si>
    <t xml:space="preserve">- Sc </t>
  </si>
  <si>
    <t>(superficie complessiva) e St (superficie per attività turistiche,commerciali,direzionali), sono definite ai sensi</t>
  </si>
  <si>
    <t>degli artt. 2, 3 e 9 del D.M. n. 801 del 10.5.77</t>
  </si>
  <si>
    <t xml:space="preserve">- q </t>
  </si>
  <si>
    <t>è definito in base all'ALLEGATO A, punto 2, della presente delibera e dall'ALLEGATO D.</t>
  </si>
  <si>
    <t>ALLEGATO D della delibera C.C. 5/2000</t>
  </si>
  <si>
    <t>DETERMINAZIONE DELLE QUOTE DEL COSTO DI COSTRUZIONE DEGLI EDIFICI RESIDENZIALI</t>
  </si>
  <si>
    <t>IN FUNZIONE DELLE CARATTERISTICHE, DELLE TIPOLOGIE E DELL'UBICAZIONE</t>
  </si>
  <si>
    <t>(art.6, L.10/77 - art. 7, L.534/93)</t>
  </si>
  <si>
    <t>(%) Max</t>
  </si>
  <si>
    <t>Coefficiente</t>
  </si>
  <si>
    <t>Coefficiente in</t>
  </si>
  <si>
    <t>(art.7 L.537/93)</t>
  </si>
  <si>
    <t>in funzione delle</t>
  </si>
  <si>
    <t>in funzione della</t>
  </si>
  <si>
    <t>funzione della</t>
  </si>
  <si>
    <t>caratteristiche</t>
  </si>
  <si>
    <t>(%)</t>
  </si>
  <si>
    <t>tipologia</t>
  </si>
  <si>
    <t>ubicazione</t>
  </si>
  <si>
    <t>q (%)</t>
  </si>
  <si>
    <t>rispetto al perimetro</t>
  </si>
  <si>
    <t>(art.18 L.865/71 -</t>
  </si>
  <si>
    <t>art.13 L.R. 47/78 -</t>
  </si>
  <si>
    <t>art.4 D.Lgs.n.295/92</t>
  </si>
  <si>
    <t>(3) = (1) x (2)</t>
  </si>
  <si>
    <t>(4)</t>
  </si>
  <si>
    <t>(5) = (3) x (4)</t>
  </si>
  <si>
    <t>(6)</t>
  </si>
  <si>
    <t>(7) = (5) x (6)</t>
  </si>
  <si>
    <t>Esterno = 1.00</t>
  </si>
  <si>
    <t>Unifamiliare (**)</t>
  </si>
  <si>
    <t>==================</t>
  </si>
  <si>
    <t>===========</t>
  </si>
  <si>
    <t>Interno = 0.85</t>
  </si>
  <si>
    <t>Edifici</t>
  </si>
  <si>
    <t>di pregio (*)</t>
  </si>
  <si>
    <t>Bifam./schiera</t>
  </si>
  <si>
    <t>0.80</t>
  </si>
  <si>
    <t>Plurifamiliare</t>
  </si>
  <si>
    <t>0.60</t>
  </si>
  <si>
    <t>Esterno = 0.90</t>
  </si>
  <si>
    <t>Interno = 0.80</t>
  </si>
  <si>
    <t>Altri edifici</t>
  </si>
  <si>
    <t>(*)</t>
  </si>
  <si>
    <t>Sono considerati di pregio gli edifici aventi le acartteristiche descritte agli artt.3 e 4 del D.M. 2.8.1969</t>
  </si>
  <si>
    <t>Art. 3</t>
  </si>
  <si>
    <t>Le abitazioni facenti parte di fabbricati che abbiano cubatura superiore a m3 2.000 e siano realizzati</t>
  </si>
  <si>
    <t>su lotti nei quali la cubatura edificata risulti inferiore a m3 25 v.p.p. per ogni m2 100 di superficie asservita ai fabbricati.</t>
  </si>
  <si>
    <t>Art. 4</t>
  </si>
  <si>
    <t>Le abitazioni unifamiliari dotate di piscina di almeno m2 80 di superficie o campi da tennis a sottofondo drenato di</t>
  </si>
  <si>
    <t>superficie non inferiore a m2 650.</t>
  </si>
  <si>
    <t>(**)</t>
  </si>
  <si>
    <t xml:space="preserve">Per edifici unifamiliari si intendono gli edifici singoli con i fronti perimetrali esterni direttamente aerati e corrispondenti </t>
  </si>
  <si>
    <t>ad un unico alloggio per un solo nucleo familiare.</t>
  </si>
  <si>
    <t xml:space="preserve">DETERMINAZIONE DELLE QUOTE DI PARCHEGGIO E/O VERDE </t>
  </si>
  <si>
    <t>A)</t>
  </si>
  <si>
    <t>PARTE INFORMATIVA</t>
  </si>
  <si>
    <t>DELLO STATO ATTUALE</t>
  </si>
  <si>
    <t>USO</t>
  </si>
  <si>
    <t>MQ.</t>
  </si>
  <si>
    <t>MC.</t>
  </si>
  <si>
    <t>DEL PROGETTO</t>
  </si>
  <si>
    <t>B)</t>
  </si>
  <si>
    <t>PARTE DI CALCOLO PER LE QUOTE</t>
  </si>
  <si>
    <t>mq. /</t>
  </si>
  <si>
    <t>mc.</t>
  </si>
  <si>
    <t xml:space="preserve">quota p.p. in dotazione </t>
  </si>
  <si>
    <t>=</t>
  </si>
  <si>
    <t>mq.</t>
  </si>
  <si>
    <t>totale quota per p.p. in dotazione</t>
  </si>
  <si>
    <t>quota v.p. in dotazione</t>
  </si>
  <si>
    <t>totale quota per v.p. in dotazione</t>
  </si>
  <si>
    <t>C)</t>
  </si>
  <si>
    <t>quota p.p. richiesto</t>
  </si>
  <si>
    <t>totale quota per p.p. di progetto</t>
  </si>
  <si>
    <t>quota v.p. richiesto</t>
  </si>
  <si>
    <t>totale quota per v.p. di progetto</t>
  </si>
  <si>
    <t>D)</t>
  </si>
  <si>
    <t>DELTA DELLE QUOTE</t>
  </si>
  <si>
    <t>per parcheggio pubblico</t>
  </si>
  <si>
    <t>per verde pubblico</t>
  </si>
  <si>
    <t>E)</t>
  </si>
  <si>
    <t>CALCOLO DEI VALORI DI MONETIZZAZIONE</t>
  </si>
  <si>
    <t>E.1)</t>
  </si>
  <si>
    <t>+</t>
  </si>
  <si>
    <t>Vf -20%</t>
  </si>
  <si>
    <t>x quota di p.p. in mq.</t>
  </si>
  <si>
    <t>E.2)</t>
  </si>
  <si>
    <t>E.2.1)</t>
  </si>
  <si>
    <t>x quota di v.p. in mq.</t>
  </si>
  <si>
    <t>TOTALE COMPLESSIVO PER MONETIZZAZIONE STANDARD</t>
  </si>
  <si>
    <t>di cui</t>
  </si>
  <si>
    <t>VERSAMENTO UNICA SOLUZIONE PER MONETIZZAZIONE  STANDARD</t>
  </si>
  <si>
    <t>RATEIZZAZIONE MONETIZZAZIONE STANDARD</t>
  </si>
  <si>
    <t>di cui €</t>
  </si>
  <si>
    <t>entro il ………………………………… (entro  6 mesi dal versamento della 1° rata)</t>
  </si>
  <si>
    <t>Per i versamenti rateizzati , è allegata alla DIA una fidejussione bancaria o assicurativa, con validità 20</t>
  </si>
  <si>
    <t xml:space="preserve">mesi e valore pari € </t>
  </si>
  <si>
    <t>corrispondente al 75% dell'importo della monetizzazione standard.</t>
  </si>
  <si>
    <r>
      <t xml:space="preserve">PER DESTINAZIONE D'USO DI PROGETTO DI </t>
    </r>
    <r>
      <rPr>
        <b/>
        <sz val="8"/>
        <color indexed="8"/>
        <rFont val="Arial"/>
        <family val="2"/>
      </rPr>
      <t>CIVILE ABITAZIONE (PARCHEGGIO)</t>
    </r>
  </si>
  <si>
    <r>
      <t xml:space="preserve">PER DESTINAZIONE D'USO DI PROGETTO </t>
    </r>
    <r>
      <rPr>
        <b/>
        <sz val="8"/>
        <color indexed="8"/>
        <rFont val="Arial"/>
        <family val="2"/>
      </rPr>
      <t>DI ATTIVITA' (PARCHEGGIO)</t>
    </r>
  </si>
  <si>
    <r>
      <t>PER DESTINAZIONE D'USO DI PROGETTO DI</t>
    </r>
    <r>
      <rPr>
        <b/>
        <sz val="8"/>
        <color indexed="8"/>
        <rFont val="Arial"/>
        <family val="2"/>
      </rPr>
      <t xml:space="preserve"> ATTIVITA' (VERDE)</t>
    </r>
  </si>
  <si>
    <t>ALLEGATO ALLA DELIBERA G.C. N. 252 DEL 28/12/2001</t>
  </si>
  <si>
    <t>VALORI FONDIARI GIA' DEPURATI DEL 20%  PER MONETIZZAZIONE STANDARD</t>
  </si>
  <si>
    <t>ZONA DI P.R.G.</t>
  </si>
  <si>
    <t>ANITA</t>
  </si>
  <si>
    <t>ARGENTA</t>
  </si>
  <si>
    <t>BANDO</t>
  </si>
  <si>
    <t>BOCCALEONE</t>
  </si>
  <si>
    <t>CAMPOTTO</t>
  </si>
  <si>
    <t>CONSANDOLO</t>
  </si>
  <si>
    <t>FILO</t>
  </si>
  <si>
    <t>LONGASTRINO</t>
  </si>
  <si>
    <t>O. MONACALE</t>
  </si>
  <si>
    <t>S.M. CODIFIUME</t>
  </si>
  <si>
    <t>TRAGHETTO</t>
  </si>
  <si>
    <t>SAN BIAGIO</t>
  </si>
  <si>
    <t>ARGENTA 2</t>
  </si>
  <si>
    <t>SAN NICOLO'</t>
  </si>
  <si>
    <t>vf-20%</t>
  </si>
  <si>
    <t>B1. B speciale, A</t>
  </si>
  <si>
    <t>B2, B3</t>
  </si>
  <si>
    <t>B4, edifici urbani in zona E</t>
  </si>
  <si>
    <t>C1 non urbanizzata</t>
  </si>
  <si>
    <t>C1 urbanizzata</t>
  </si>
  <si>
    <t>C2</t>
  </si>
  <si>
    <t>D completamento</t>
  </si>
  <si>
    <t>D esistente</t>
  </si>
  <si>
    <t>D speciale</t>
  </si>
  <si>
    <t>D1 non urbanizzata</t>
  </si>
  <si>
    <t>D1 urbanizzata</t>
  </si>
  <si>
    <t>P.I.P</t>
  </si>
  <si>
    <t>D in attuaz.</t>
  </si>
  <si>
    <t>D2, D completamento</t>
  </si>
  <si>
    <t>D3 (demolitori)</t>
  </si>
  <si>
    <t>D4 (allevamenti)</t>
  </si>
  <si>
    <t>D5 (centri commerciali)</t>
  </si>
  <si>
    <t>D6 (cons. e lavor. Prodotti agr.)</t>
  </si>
  <si>
    <t>D7 (allevamento ippico)</t>
  </si>
  <si>
    <t>F1,F2,F3 (servizi privati)</t>
  </si>
  <si>
    <t>F5 (stazioni radio)</t>
  </si>
  <si>
    <t>G, F4 (standards)</t>
  </si>
  <si>
    <t>H1</t>
  </si>
  <si>
    <t>H2</t>
  </si>
  <si>
    <t>H3 (aree per feste)</t>
  </si>
  <si>
    <t>H4</t>
  </si>
  <si>
    <t>Hs (aree sportive)</t>
  </si>
  <si>
    <t>PEEP urbanizzato</t>
  </si>
  <si>
    <t>-</t>
  </si>
  <si>
    <t>PEEP non urbanizzato</t>
  </si>
  <si>
    <t>verde privato</t>
  </si>
  <si>
    <t>INTESTATA A:</t>
  </si>
  <si>
    <t>LOCALITA' DELL'INTERVENTO:</t>
  </si>
  <si>
    <t>DESCRIZIONE INTERVENTO:</t>
  </si>
  <si>
    <t>DESTINAZIONE DELLO STATO DI FATTO:</t>
  </si>
  <si>
    <t>DESTINAZIONE DI PROGETTO:</t>
  </si>
  <si>
    <t>IL TECNICO COMPILATORE</t>
  </si>
  <si>
    <t>TOT.COMP.VO U1+ U2 =</t>
  </si>
  <si>
    <t>costo di realizzazione ( 84% di U1 Tab. A4)</t>
  </si>
  <si>
    <t>costo di realizzazione (96% di U1 Tab B4)</t>
  </si>
  <si>
    <t>costo di realizzazione (4% di U1 Tab B4)</t>
  </si>
  <si>
    <t>NATA/O A:</t>
  </si>
  <si>
    <t>PROV.</t>
  </si>
  <si>
    <t>IL :</t>
  </si>
  <si>
    <t>C.F.</t>
  </si>
  <si>
    <t>RESIDENTE IN :</t>
  </si>
  <si>
    <t>U:</t>
  </si>
  <si>
    <t xml:space="preserve">TOTALE COMPLESSIVO CONTRIBUTI </t>
  </si>
  <si>
    <t xml:space="preserve">PER COSTO DI COSTRUZIONE       </t>
  </si>
  <si>
    <r>
      <t xml:space="preserve">PER MONETIZZAZIONE </t>
    </r>
    <r>
      <rPr>
        <b/>
        <sz val="9"/>
        <rFont val="Arial"/>
        <family val="2"/>
      </rPr>
      <t>PARCHEGGIO</t>
    </r>
  </si>
  <si>
    <r>
      <t xml:space="preserve">PER MONETIZZAZIONE </t>
    </r>
    <r>
      <rPr>
        <b/>
        <sz val="9"/>
        <rFont val="Arial"/>
        <family val="2"/>
      </rPr>
      <t>VERDE</t>
    </r>
  </si>
  <si>
    <r>
      <t xml:space="preserve">PER ONERI DI URBANIZZAZIONE  </t>
    </r>
    <r>
      <rPr>
        <b/>
        <sz val="9"/>
        <rFont val="Arial"/>
        <family val="2"/>
      </rPr>
      <t>PRIMARIA</t>
    </r>
    <r>
      <rPr>
        <sz val="9"/>
        <rFont val="Arial"/>
        <family val="2"/>
      </rPr>
      <t xml:space="preserve">  </t>
    </r>
  </si>
  <si>
    <r>
      <t xml:space="preserve">PER ONERI DI URBANIZZAZIONE  </t>
    </r>
    <r>
      <rPr>
        <b/>
        <sz val="9"/>
        <rFont val="Arial"/>
        <family val="2"/>
      </rPr>
      <t>SECONDARIA</t>
    </r>
    <r>
      <rPr>
        <sz val="9"/>
        <rFont val="Arial"/>
        <family val="2"/>
      </rPr>
      <t xml:space="preserve">  </t>
    </r>
  </si>
  <si>
    <t>ANITA 2001</t>
  </si>
  <si>
    <t>ANITA intermedio</t>
  </si>
  <si>
    <t>ANITA 2007</t>
  </si>
  <si>
    <t>ANITA 2008</t>
  </si>
  <si>
    <t>ARGENTA 2001</t>
  </si>
  <si>
    <t>BANDO 2001</t>
  </si>
  <si>
    <t>BANDO intermedio</t>
  </si>
  <si>
    <t>BANDO 2007</t>
  </si>
  <si>
    <t>BANDO 2008</t>
  </si>
  <si>
    <t>BOCCALEONE 2001</t>
  </si>
  <si>
    <t>BOCCALEONE intermedio</t>
  </si>
  <si>
    <t>BOCCALEONE 2007</t>
  </si>
  <si>
    <t>BOCCALEONE 2008</t>
  </si>
  <si>
    <t>CAMPOTTO 2001</t>
  </si>
  <si>
    <t>CAMPOTTO intermedio</t>
  </si>
  <si>
    <t>CAMPOTTO 2007</t>
  </si>
  <si>
    <t>CAMPOTTO 2008</t>
  </si>
  <si>
    <t>CONSANDOLO 2001</t>
  </si>
  <si>
    <t>CONSANDOLO intermedio</t>
  </si>
  <si>
    <t>CONSANDOLO 2007</t>
  </si>
  <si>
    <t>CONSANDOLO 2008</t>
  </si>
  <si>
    <t>FILO 2001</t>
  </si>
  <si>
    <t>FILO intermedio</t>
  </si>
  <si>
    <t>FILO 2007</t>
  </si>
  <si>
    <t>FILO 2008</t>
  </si>
  <si>
    <t>LONGASTRINO 2001</t>
  </si>
  <si>
    <t>LONGASTRINO intermedio</t>
  </si>
  <si>
    <t>LONGASTRINO 2007</t>
  </si>
  <si>
    <t>LONGASTRINO 2008</t>
  </si>
  <si>
    <t>O. MONACALE 2001</t>
  </si>
  <si>
    <t>O. MONACALE intermedio</t>
  </si>
  <si>
    <t>OSPITAL MONACALE 2007</t>
  </si>
  <si>
    <t>OSPITAL MONACALE 2008</t>
  </si>
  <si>
    <t>SAN BIAGIO 2001</t>
  </si>
  <si>
    <t>SAN BIAGIO intermedio</t>
  </si>
  <si>
    <t>SAN BIAGIO 2007</t>
  </si>
  <si>
    <t>SAN BIAGIO 2008</t>
  </si>
  <si>
    <t>SAN NICOLO' 2001</t>
  </si>
  <si>
    <t>SAN NICOLO' intermedio</t>
  </si>
  <si>
    <t>SAN NICOLO' 2007</t>
  </si>
  <si>
    <t>SAN NICOLO' 2008</t>
  </si>
  <si>
    <t>S.M. CODIFIUME 2001</t>
  </si>
  <si>
    <t>S.M. CODIFIUME intermedio</t>
  </si>
  <si>
    <t>S.M. CODIFIUME 2007</t>
  </si>
  <si>
    <t>S.M. CODIFIUME 2008</t>
  </si>
  <si>
    <t>TRAGHETTO 2001</t>
  </si>
  <si>
    <t>TRAGHETTO intermedio</t>
  </si>
  <si>
    <t>TRAGHETTO 2007</t>
  </si>
  <si>
    <t>TRAGHETTO 2008</t>
  </si>
  <si>
    <t>ARGENTA 2 2001</t>
  </si>
  <si>
    <t>ARGENTA 2 intermedio</t>
  </si>
  <si>
    <t>ARGENTA 2 2007</t>
  </si>
  <si>
    <t>ARGENTA 2 2008</t>
  </si>
  <si>
    <t>PIP</t>
  </si>
  <si>
    <t>i2 = 0(%)</t>
  </si>
  <si>
    <t>PER COSTRUZIONE BIOCLIMATICA, ECOLOGICA di cui all'ART.1.6.3</t>
  </si>
  <si>
    <t>STRUTTURE SOCIO-ASSISTENZIALI-SANITARIE di cui all'ART.1.6.4</t>
  </si>
  <si>
    <t>di cui all'ART.1.6.2</t>
  </si>
  <si>
    <t xml:space="preserve">INTERVENTI  DI R.E. CHE GARANTISCONO LIVELLO DI ACCESSIBILITA' </t>
  </si>
  <si>
    <t xml:space="preserve">MAGGIORE RISPETTO A QUELLO IMPOSTO DAL D.M. 14.06.1989 n. 236 </t>
  </si>
  <si>
    <t>di cui all'ART.1.6.12</t>
  </si>
  <si>
    <t>CON PARTECIPAZIONE PUBBLICA MAGGIORE DEL 50% di cui all'ART.1.6.11</t>
  </si>
  <si>
    <t xml:space="preserve">PER EDILIZIA RESIDENZIALE CON IMPIANTO TERMICO </t>
  </si>
  <si>
    <t>ED ENERGETICO SOLARE di cui all'ART. 1.6.10</t>
  </si>
  <si>
    <t>RISTRUTTURAZIONE ATTIVITA' ARTIGIANALE di cui all'ART. 1.6.9</t>
  </si>
  <si>
    <t xml:space="preserve">NUOVA COSTRUZIONE  E AMPLIAMENTO ATTIVITA' ARTIGIANALE </t>
  </si>
  <si>
    <t>di cui all'ART. 1.6.9</t>
  </si>
  <si>
    <t>di cui all'ART. 1.6.5</t>
  </si>
  <si>
    <t>U1 - 50%</t>
  </si>
  <si>
    <t>U1 - 70%</t>
  </si>
  <si>
    <t>U2 - 70%</t>
  </si>
  <si>
    <t>ALL'INGROSSO O PRODUTTIVO (il 30% della Tab. C4) di cui all'ART. 1.6.5</t>
  </si>
  <si>
    <t>QUOTE DEGLI STANDARD PREVISTI AL TITOLO II.I DEL R.U.E.?</t>
  </si>
  <si>
    <t>il 100% = €</t>
  </si>
  <si>
    <t>i1 = (%)</t>
  </si>
  <si>
    <t xml:space="preserve">Tot. Su = </t>
  </si>
  <si>
    <t xml:space="preserve">Tot. Snr = </t>
  </si>
  <si>
    <t>(Snr : Su) x 100 =(%) corrisponde a</t>
  </si>
  <si>
    <t>Totale Su =</t>
  </si>
  <si>
    <t>VALORI FONDIARI AI FINI DEGLI STANDARS</t>
  </si>
  <si>
    <t>DA APPLICARE CON DECORRENZA 01/01/2013</t>
  </si>
  <si>
    <t>ZONA DI PSC/RUE</t>
  </si>
  <si>
    <t>DIRITTO 
EDIFICATORIO
*** mq/mq</t>
  </si>
  <si>
    <t xml:space="preserve">ANITA </t>
  </si>
  <si>
    <t>ARGENTA -20%</t>
  </si>
  <si>
    <t>ARGENTA 2010</t>
  </si>
  <si>
    <t>ARGENTA 2011</t>
  </si>
  <si>
    <t>ARGENTA 2012</t>
  </si>
  <si>
    <t>ARGENTA 2013</t>
  </si>
  <si>
    <t xml:space="preserve">ARGENTA </t>
  </si>
  <si>
    <t xml:space="preserve">BANDO </t>
  </si>
  <si>
    <t>BENVIGNANTE</t>
  </si>
  <si>
    <t xml:space="preserve">BOCCALEONE </t>
  </si>
  <si>
    <t xml:space="preserve">CAMPOTTO </t>
  </si>
  <si>
    <t xml:space="preserve">FILO </t>
  </si>
  <si>
    <t xml:space="preserve">LONGASTRINO </t>
  </si>
  <si>
    <t xml:space="preserve">OSPITAL M. </t>
  </si>
  <si>
    <t xml:space="preserve">SAN BIAGIO </t>
  </si>
  <si>
    <t xml:space="preserve">SAN NICOLO' </t>
  </si>
  <si>
    <t xml:space="preserve">S.M. CODIFIUME </t>
  </si>
  <si>
    <t xml:space="preserve">TRAGHETTO </t>
  </si>
  <si>
    <t>URBANIZZATO</t>
  </si>
  <si>
    <t>ACS</t>
  </si>
  <si>
    <t>ACS programmato in perequazione</t>
  </si>
  <si>
    <t>0,30*****</t>
  </si>
  <si>
    <t>ACS-D</t>
  </si>
  <si>
    <t>AC1</t>
  </si>
  <si>
    <t>AC2 (per PEEP vedi ******)</t>
  </si>
  <si>
    <t>AC3</t>
  </si>
  <si>
    <t>AC4</t>
  </si>
  <si>
    <t>AC5</t>
  </si>
  <si>
    <t>AC-PUA urbanizzato</t>
  </si>
  <si>
    <t>AC-PUA non urbanizzato</t>
  </si>
  <si>
    <t>AR-R urbanizzato</t>
  </si>
  <si>
    <t>AR-R programmato nel POC</t>
  </si>
  <si>
    <t>ASP1.1</t>
  </si>
  <si>
    <t>ASP1.2</t>
  </si>
  <si>
    <t>PIP******</t>
  </si>
  <si>
    <t>AR-P programmato nel POC</t>
  </si>
  <si>
    <t>AR-P  non urbanizzato</t>
  </si>
  <si>
    <t>AR-P  urbanizzato (produtivo-artigianale)</t>
  </si>
  <si>
    <t>AR-P  urbanizzato (terziario-commerciale)</t>
  </si>
  <si>
    <t>AR-P  urbanizzato (residenziale)</t>
  </si>
  <si>
    <t>AC6</t>
  </si>
  <si>
    <t>S</t>
  </si>
  <si>
    <t>R</t>
  </si>
  <si>
    <t>V</t>
  </si>
  <si>
    <t>VS</t>
  </si>
  <si>
    <t>P</t>
  </si>
  <si>
    <t>URBANIZZABILE</t>
  </si>
  <si>
    <t>ANS3 programmato nel POC</t>
  </si>
  <si>
    <t>ANS3 vincolate</t>
  </si>
  <si>
    <t xml:space="preserve">ANS3 </t>
  </si>
  <si>
    <t>ANS1 urbanizzato</t>
  </si>
  <si>
    <t>ANS1 non urbanizzato</t>
  </si>
  <si>
    <t>ANS2 urbanizzato</t>
  </si>
  <si>
    <t>0,15 *</t>
  </si>
  <si>
    <t xml:space="preserve">ANS2 </t>
  </si>
  <si>
    <t>ANS2 programmata nel POC non urbanizzato</t>
  </si>
  <si>
    <t>ASP2 programmato nel POC non urbanizzato</t>
  </si>
  <si>
    <t xml:space="preserve">ASP2 </t>
  </si>
  <si>
    <t>ASP2 urbanizzato</t>
  </si>
  <si>
    <t>RURALE</t>
  </si>
  <si>
    <t>AVP</t>
  </si>
  <si>
    <t>ARP</t>
  </si>
  <si>
    <t>ARPM</t>
  </si>
  <si>
    <t>NR</t>
  </si>
  <si>
    <t>IRP</t>
  </si>
  <si>
    <t>VAR**</t>
  </si>
  <si>
    <t>*  DE=0,20  mq/mq per ARGENTA</t>
  </si>
  <si>
    <t>** se programmato nel POC</t>
  </si>
  <si>
    <t>*** AR, ASP2, ANS2, AC-PUA vincolate DE=0,08 mq/mq</t>
  </si>
  <si>
    <t>**** ANS3 vincolate DE=0,03</t>
  </si>
  <si>
    <t>***** ACS, AC3, AC4 in perequazione - porzioni vincolate DE=0,10 mq/mq</t>
  </si>
  <si>
    <t>****** PEEP e PIP sottostanno ai valori della delibera C.C. vigente nell'anno di riferimento al pagamento ICI</t>
  </si>
  <si>
    <t>(Titolo II.I. del R.U.E.)</t>
  </si>
  <si>
    <t xml:space="preserve">VERSAMENTI S.C.I.A. </t>
  </si>
  <si>
    <t>MONETIZZAZIONE PARCHEGGIO E VERDE PUBBLICO (Titolo II.I  R.U.E.)</t>
  </si>
  <si>
    <t>(ESEMPIO AC2 (P.E.E.P. -C1-C2-D1-PIP, ecc) ?</t>
  </si>
  <si>
    <t>ZONA DI R.U.E. SOGGETTA A LOTTIZZAZIONE CONVENZIONATA</t>
  </si>
  <si>
    <t>ZONA DI R.U.E.- RESIDENZIALE AC2 P.E.E.P</t>
  </si>
  <si>
    <t>ATTIVITA' RISTRUTTURAZIONE</t>
  </si>
  <si>
    <t>il 50% = €</t>
  </si>
  <si>
    <t xml:space="preserve">L'INTESTATARIO </t>
  </si>
  <si>
    <t>ZONA DI R.U.E.:</t>
  </si>
  <si>
    <t>ARCH.</t>
  </si>
  <si>
    <t>Pubblici Esercizi (b2)</t>
  </si>
  <si>
    <t>Attività Commerciale al dettaglio (b1)</t>
  </si>
  <si>
    <t>d2)</t>
  </si>
  <si>
    <t xml:space="preserve">Attività turistiche e Alberghiera </t>
  </si>
  <si>
    <t xml:space="preserve">Attività turistiche </t>
  </si>
  <si>
    <t xml:space="preserve">Attività Albergiera </t>
  </si>
  <si>
    <t>Attività direzionale, studi professionali, attività di servizio</t>
  </si>
  <si>
    <t>Attività Commerciale all'ingrosso (d2)</t>
  </si>
  <si>
    <t xml:space="preserve">Attività culturali, ricreative, sanitarie, impianti sportivi </t>
  </si>
  <si>
    <t xml:space="preserve"> sanitarie, impianti sportivi </t>
  </si>
  <si>
    <t>Attività Commerciale (b1, d2), culturali, ricreative,</t>
  </si>
  <si>
    <t xml:space="preserve">  (valore desumibile dalla determina di aggiornamento ISTAT)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</si>
</sst>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#,##0.00000"/>
    <numFmt numFmtId="172" formatCode="0.00000"/>
    <numFmt numFmtId="173" formatCode="\€\.\ #,##0.00;[Red]\-&quot;L.&quot;\ #,##0.00"/>
    <numFmt numFmtId="174" formatCode="\€\.\ #,##0.00;\-&quot;L.&quot;\ #,##0.00"/>
    <numFmt numFmtId="175" formatCode="00000"/>
    <numFmt numFmtId="176" formatCode="\€\.\ #,##0;\-&quot;L.&quot;\ #,##0"/>
    <numFmt numFmtId="177" formatCode="\€\.\ #,##0.00;\-&quot;L.&quot;\ #,##0"/>
    <numFmt numFmtId="178" formatCode="_-[$€-2]\ * #,##0.00_-;\-[$€-2]\ * #,##0.00_-;_-[$€-2]\ * &quot;-&quot;??_-"/>
    <numFmt numFmtId="179" formatCode="0.0"/>
    <numFmt numFmtId="180" formatCode="0.000"/>
    <numFmt numFmtId="181" formatCode="0.0000"/>
    <numFmt numFmtId="182" formatCode="0.0%"/>
    <numFmt numFmtId="183" formatCode="&quot;€&quot;\ #,##0.00"/>
  </numFmts>
  <fonts count="8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i/>
      <sz val="10"/>
      <name val="Courier New"/>
      <family val="3"/>
    </font>
    <font>
      <b/>
      <sz val="10"/>
      <color indexed="8"/>
      <name val="Courier New"/>
      <family val="3"/>
    </font>
    <font>
      <b/>
      <sz val="12"/>
      <name val="Arial"/>
      <family val="2"/>
    </font>
    <font>
      <b/>
      <sz val="9"/>
      <name val="Arial"/>
      <family val="2"/>
    </font>
    <font>
      <sz val="12"/>
      <name val="Courier New"/>
      <family val="3"/>
    </font>
    <font>
      <b/>
      <u val="single"/>
      <sz val="10"/>
      <name val="Arial"/>
      <family val="2"/>
    </font>
    <font>
      <sz val="9"/>
      <name val="Courier New"/>
      <family val="3"/>
    </font>
    <font>
      <b/>
      <i/>
      <u val="single"/>
      <sz val="11"/>
      <name val="Courier New"/>
      <family val="3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sz val="9"/>
      <name val="Courier New"/>
      <family val="3"/>
    </font>
    <font>
      <b/>
      <i/>
      <sz val="1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4"/>
      <name val="Garamond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b/>
      <sz val="9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0"/>
      <name val="Book Antiqua"/>
      <family val="1"/>
    </font>
    <font>
      <sz val="9"/>
      <color indexed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2" applyNumberFormat="0" applyFill="0" applyAlignment="0" applyProtection="0"/>
    <xf numFmtId="0" fontId="70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0" fontId="73" fillId="20" borderId="5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1" fontId="0" fillId="0" borderId="0" xfId="0" applyNumberFormat="1" applyAlignment="1">
      <alignment horizontal="centerContinuous" vertical="center"/>
    </xf>
    <xf numFmtId="171" fontId="0" fillId="0" borderId="10" xfId="0" applyNumberForma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171" fontId="0" fillId="0" borderId="17" xfId="0" applyNumberForma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171" fontId="0" fillId="0" borderId="20" xfId="0" applyNumberFormat="1" applyBorder="1" applyAlignment="1">
      <alignment horizontal="center" vertical="center"/>
    </xf>
    <xf numFmtId="171" fontId="0" fillId="0" borderId="21" xfId="0" applyNumberFormat="1" applyBorder="1" applyAlignment="1">
      <alignment horizontal="right" vertical="center"/>
    </xf>
    <xf numFmtId="171" fontId="0" fillId="0" borderId="14" xfId="0" applyNumberFormat="1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171" fontId="0" fillId="0" borderId="19" xfId="0" applyNumberFormat="1" applyBorder="1" applyAlignment="1">
      <alignment horizontal="right" vertical="center"/>
    </xf>
    <xf numFmtId="171" fontId="0" fillId="0" borderId="20" xfId="0" applyNumberForma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171" fontId="0" fillId="0" borderId="12" xfId="0" applyNumberFormat="1" applyBorder="1" applyAlignment="1">
      <alignment horizontal="centerContinuous" vertical="center"/>
    </xf>
    <xf numFmtId="3" fontId="0" fillId="0" borderId="12" xfId="0" applyNumberFormat="1" applyBorder="1" applyAlignment="1">
      <alignment horizontal="centerContinuous" vertical="center"/>
    </xf>
    <xf numFmtId="171" fontId="0" fillId="0" borderId="21" xfId="0" applyNumberFormat="1" applyBorder="1" applyAlignment="1">
      <alignment horizontal="centerContinuous" vertical="center"/>
    </xf>
    <xf numFmtId="171" fontId="0" fillId="0" borderId="1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171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0" xfId="0" applyNumberForma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0" fillId="0" borderId="21" xfId="0" applyNumberFormat="1" applyBorder="1" applyAlignment="1">
      <alignment horizontal="centerContinuous" vertical="center"/>
    </xf>
    <xf numFmtId="1" fontId="3" fillId="0" borderId="1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7" fillId="33" borderId="0" xfId="0" applyNumberFormat="1" applyFont="1" applyFill="1" applyBorder="1" applyAlignment="1" applyProtection="1">
      <alignment/>
      <protection/>
    </xf>
    <xf numFmtId="1" fontId="7" fillId="0" borderId="14" xfId="0" applyNumberFormat="1" applyFont="1" applyBorder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1" fontId="0" fillId="0" borderId="10" xfId="0" applyNumberFormat="1" applyFont="1" applyBorder="1" applyAlignment="1">
      <alignment/>
    </xf>
    <xf numFmtId="171" fontId="0" fillId="33" borderId="10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 horizontal="right"/>
    </xf>
    <xf numFmtId="4" fontId="19" fillId="0" borderId="23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173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0" xfId="36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" fontId="3" fillId="0" borderId="16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8" fillId="0" borderId="0" xfId="36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17" fillId="0" borderId="26" xfId="0" applyFont="1" applyBorder="1" applyAlignment="1">
      <alignment/>
    </xf>
    <xf numFmtId="1" fontId="17" fillId="0" borderId="0" xfId="0" applyNumberFormat="1" applyFont="1" applyBorder="1" applyAlignment="1" applyProtection="1">
      <alignment/>
      <protection/>
    </xf>
    <xf numFmtId="1" fontId="17" fillId="0" borderId="14" xfId="0" applyNumberFormat="1" applyFont="1" applyBorder="1" applyAlignment="1" applyProtection="1">
      <alignment/>
      <protection/>
    </xf>
    <xf numFmtId="171" fontId="0" fillId="0" borderId="2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vertical="center"/>
    </xf>
    <xf numFmtId="171" fontId="0" fillId="0" borderId="17" xfId="0" applyNumberFormat="1" applyBorder="1" applyAlignment="1">
      <alignment horizontal="right" vertical="center"/>
    </xf>
    <xf numFmtId="171" fontId="0" fillId="0" borderId="18" xfId="0" applyNumberFormat="1" applyBorder="1" applyAlignment="1">
      <alignment horizontal="center" vertical="center"/>
    </xf>
    <xf numFmtId="0" fontId="10" fillId="0" borderId="0" xfId="0" applyFont="1" applyAlignment="1">
      <alignment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4" fontId="0" fillId="0" borderId="0" xfId="0" applyNumberFormat="1" applyFon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23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4" fontId="26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73" fontId="0" fillId="0" borderId="0" xfId="0" applyNumberFormat="1" applyFont="1" applyAlignment="1">
      <alignment horizontal="left"/>
    </xf>
    <xf numFmtId="173" fontId="10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8" fillId="0" borderId="0" xfId="0" applyFont="1" applyBorder="1" applyAlignment="1">
      <alignment/>
    </xf>
    <xf numFmtId="2" fontId="6" fillId="0" borderId="14" xfId="0" applyNumberFormat="1" applyFont="1" applyBorder="1" applyAlignment="1">
      <alignment/>
    </xf>
    <xf numFmtId="0" fontId="4" fillId="0" borderId="13" xfId="0" applyFont="1" applyBorder="1" applyAlignment="1">
      <alignment vertical="top"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4" fillId="0" borderId="13" xfId="0" applyFont="1" applyBorder="1" applyAlignment="1">
      <alignment vertical="center"/>
    </xf>
    <xf numFmtId="10" fontId="6" fillId="0" borderId="14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4" fillId="0" borderId="15" xfId="0" applyFont="1" applyBorder="1" applyAlignment="1">
      <alignment vertical="top"/>
    </xf>
    <xf numFmtId="0" fontId="30" fillId="0" borderId="22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20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32" fillId="0" borderId="0" xfId="0" applyNumberFormat="1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8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0" xfId="0" applyFont="1" applyBorder="1" applyAlignment="1">
      <alignment/>
    </xf>
    <xf numFmtId="49" fontId="32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right"/>
    </xf>
    <xf numFmtId="49" fontId="32" fillId="0" borderId="16" xfId="0" applyNumberFormat="1" applyFont="1" applyBorder="1" applyAlignment="1">
      <alignment horizontal="right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Alignment="1">
      <alignment vertical="top"/>
    </xf>
    <xf numFmtId="0" fontId="32" fillId="0" borderId="20" xfId="0" applyFont="1" applyBorder="1" applyAlignment="1">
      <alignment vertical="top"/>
    </xf>
    <xf numFmtId="0" fontId="32" fillId="0" borderId="17" xfId="0" applyFont="1" applyBorder="1" applyAlignment="1">
      <alignment horizontal="center" vertical="center"/>
    </xf>
    <xf numFmtId="2" fontId="32" fillId="0" borderId="17" xfId="0" applyNumberFormat="1" applyFont="1" applyBorder="1" applyAlignment="1">
      <alignment horizontal="center" vertical="center"/>
    </xf>
    <xf numFmtId="20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 quotePrefix="1">
      <alignment horizontal="center" vertical="center"/>
    </xf>
    <xf numFmtId="2" fontId="32" fillId="0" borderId="20" xfId="0" applyNumberFormat="1" applyFont="1" applyBorder="1" applyAlignment="1" quotePrefix="1">
      <alignment horizontal="center" vertical="center"/>
    </xf>
    <xf numFmtId="20" fontId="32" fillId="0" borderId="18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2" fontId="32" fillId="0" borderId="18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2" fillId="0" borderId="28" xfId="0" applyFont="1" applyBorder="1" applyAlignment="1">
      <alignment/>
    </xf>
    <xf numFmtId="0" fontId="32" fillId="0" borderId="29" xfId="0" applyFont="1" applyBorder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4" fontId="36" fillId="0" borderId="0" xfId="0" applyNumberFormat="1" applyFont="1" applyAlignment="1">
      <alignment/>
    </xf>
    <xf numFmtId="0" fontId="36" fillId="0" borderId="17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4" fontId="36" fillId="0" borderId="10" xfId="0" applyNumberFormat="1" applyFont="1" applyBorder="1" applyAlignment="1">
      <alignment/>
    </xf>
    <xf numFmtId="0" fontId="36" fillId="0" borderId="26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4" fontId="36" fillId="0" borderId="17" xfId="0" applyNumberFormat="1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32" xfId="0" applyFont="1" applyBorder="1" applyAlignment="1">
      <alignment/>
    </xf>
    <xf numFmtId="4" fontId="34" fillId="0" borderId="33" xfId="0" applyNumberFormat="1" applyFont="1" applyBorder="1" applyAlignment="1">
      <alignment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22" xfId="0" applyFont="1" applyBorder="1" applyAlignment="1">
      <alignment/>
    </xf>
    <xf numFmtId="0" fontId="36" fillId="0" borderId="27" xfId="0" applyFont="1" applyBorder="1" applyAlignment="1">
      <alignment/>
    </xf>
    <xf numFmtId="4" fontId="34" fillId="0" borderId="23" xfId="0" applyNumberFormat="1" applyFont="1" applyBorder="1" applyAlignment="1">
      <alignment/>
    </xf>
    <xf numFmtId="0" fontId="36" fillId="0" borderId="18" xfId="0" applyFont="1" applyBorder="1" applyAlignment="1">
      <alignment horizontal="center"/>
    </xf>
    <xf numFmtId="4" fontId="36" fillId="0" borderId="23" xfId="0" applyNumberFormat="1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4" fontId="34" fillId="0" borderId="21" xfId="0" applyNumberFormat="1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4" fontId="34" fillId="0" borderId="0" xfId="0" applyNumberFormat="1" applyFont="1" applyBorder="1" applyAlignment="1">
      <alignment horizontal="left"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6" xfId="0" applyFont="1" applyBorder="1" applyAlignment="1">
      <alignment horizontal="center"/>
    </xf>
    <xf numFmtId="4" fontId="34" fillId="0" borderId="16" xfId="0" applyNumberFormat="1" applyFont="1" applyBorder="1" applyAlignment="1">
      <alignment horizontal="left"/>
    </xf>
    <xf numFmtId="0" fontId="34" fillId="0" borderId="19" xfId="0" applyFont="1" applyBorder="1" applyAlignment="1">
      <alignment/>
    </xf>
    <xf numFmtId="0" fontId="24" fillId="0" borderId="0" xfId="0" applyFont="1" applyAlignment="1">
      <alignment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Alignment="1">
      <alignment/>
    </xf>
    <xf numFmtId="174" fontId="39" fillId="0" borderId="14" xfId="0" applyNumberFormat="1" applyFont="1" applyBorder="1" applyAlignment="1">
      <alignment/>
    </xf>
    <xf numFmtId="174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left"/>
    </xf>
    <xf numFmtId="174" fontId="39" fillId="0" borderId="0" xfId="0" applyNumberFormat="1" applyFont="1" applyBorder="1" applyAlignment="1">
      <alignment horizontal="center"/>
    </xf>
    <xf numFmtId="4" fontId="39" fillId="0" borderId="0" xfId="0" applyNumberFormat="1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4" fontId="39" fillId="0" borderId="16" xfId="0" applyNumberFormat="1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textRotation="90"/>
    </xf>
    <xf numFmtId="14" fontId="43" fillId="0" borderId="0" xfId="0" applyNumberFormat="1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0" xfId="0" applyFont="1" applyBorder="1" applyAlignment="1">
      <alignment/>
    </xf>
    <xf numFmtId="20" fontId="17" fillId="0" borderId="0" xfId="0" applyNumberFormat="1" applyFont="1" applyAlignment="1">
      <alignment/>
    </xf>
    <xf numFmtId="0" fontId="17" fillId="0" borderId="25" xfId="0" applyNumberFormat="1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36" fillId="0" borderId="20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16" xfId="0" applyFont="1" applyBorder="1" applyAlignment="1">
      <alignment/>
    </xf>
    <xf numFmtId="4" fontId="37" fillId="34" borderId="0" xfId="0" applyNumberFormat="1" applyFont="1" applyFill="1" applyAlignment="1" applyProtection="1">
      <alignment/>
      <protection locked="0"/>
    </xf>
    <xf numFmtId="0" fontId="37" fillId="34" borderId="37" xfId="0" applyFont="1" applyFill="1" applyBorder="1" applyAlignment="1" applyProtection="1">
      <alignment horizontal="center"/>
      <protection locked="0"/>
    </xf>
    <xf numFmtId="4" fontId="37" fillId="34" borderId="37" xfId="0" applyNumberFormat="1" applyFont="1" applyFill="1" applyBorder="1" applyAlignment="1" applyProtection="1">
      <alignment/>
      <protection locked="0"/>
    </xf>
    <xf numFmtId="0" fontId="44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2" fontId="41" fillId="0" borderId="10" xfId="0" applyNumberFormat="1" applyFont="1" applyBorder="1" applyAlignment="1">
      <alignment horizontal="right" vertical="center"/>
    </xf>
    <xf numFmtId="2" fontId="41" fillId="0" borderId="10" xfId="0" applyNumberFormat="1" applyFont="1" applyBorder="1" applyAlignment="1">
      <alignment/>
    </xf>
    <xf numFmtId="14" fontId="43" fillId="34" borderId="10" xfId="0" applyNumberFormat="1" applyFont="1" applyFill="1" applyBorder="1" applyAlignment="1" applyProtection="1">
      <alignment/>
      <protection locked="0"/>
    </xf>
    <xf numFmtId="14" fontId="43" fillId="34" borderId="10" xfId="0" applyNumberFormat="1" applyFont="1" applyFill="1" applyBorder="1" applyAlignment="1" applyProtection="1">
      <alignment horizontal="center"/>
      <protection locked="0"/>
    </xf>
    <xf numFmtId="0" fontId="3" fillId="34" borderId="37" xfId="0" applyFont="1" applyFill="1" applyBorder="1" applyAlignment="1" applyProtection="1">
      <alignment/>
      <protection locked="0"/>
    </xf>
    <xf numFmtId="1" fontId="3" fillId="34" borderId="37" xfId="0" applyNumberFormat="1" applyFont="1" applyFill="1" applyBorder="1" applyAlignment="1" applyProtection="1">
      <alignment/>
      <protection locked="0"/>
    </xf>
    <xf numFmtId="172" fontId="0" fillId="34" borderId="37" xfId="0" applyNumberFormat="1" applyFill="1" applyBorder="1" applyAlignment="1" applyProtection="1">
      <alignment horizontal="center" vertical="center"/>
      <protection locked="0"/>
    </xf>
    <xf numFmtId="10" fontId="27" fillId="34" borderId="37" xfId="0" applyNumberFormat="1" applyFont="1" applyFill="1" applyBorder="1" applyAlignment="1" applyProtection="1">
      <alignment/>
      <protection locked="0"/>
    </xf>
    <xf numFmtId="10" fontId="27" fillId="34" borderId="38" xfId="0" applyNumberFormat="1" applyFont="1" applyFill="1" applyBorder="1" applyAlignment="1" applyProtection="1">
      <alignment/>
      <protection locked="0"/>
    </xf>
    <xf numFmtId="0" fontId="27" fillId="34" borderId="37" xfId="0" applyFont="1" applyFill="1" applyBorder="1" applyAlignment="1" applyProtection="1">
      <alignment horizontal="center"/>
      <protection locked="0"/>
    </xf>
    <xf numFmtId="4" fontId="27" fillId="34" borderId="39" xfId="0" applyNumberFormat="1" applyFont="1" applyFill="1" applyBorder="1" applyAlignment="1" applyProtection="1">
      <alignment/>
      <protection locked="0"/>
    </xf>
    <xf numFmtId="4" fontId="27" fillId="34" borderId="37" xfId="0" applyNumberFormat="1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14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178" fontId="17" fillId="0" borderId="10" xfId="0" applyNumberFormat="1" applyFont="1" applyBorder="1" applyAlignment="1">
      <alignment/>
    </xf>
    <xf numFmtId="0" fontId="43" fillId="34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17" fillId="0" borderId="0" xfId="0" applyFont="1" applyAlignment="1">
      <alignment horizontal="right"/>
    </xf>
    <xf numFmtId="178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43" fillId="34" borderId="1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4" fontId="27" fillId="0" borderId="10" xfId="0" applyNumberFormat="1" applyFont="1" applyBorder="1" applyAlignment="1">
      <alignment horizontal="center"/>
    </xf>
    <xf numFmtId="0" fontId="45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/>
    </xf>
    <xf numFmtId="2" fontId="46" fillId="0" borderId="10" xfId="0" applyNumberFormat="1" applyFont="1" applyFill="1" applyBorder="1" applyAlignment="1">
      <alignment horizontal="center" vertical="center" textRotation="90"/>
    </xf>
    <xf numFmtId="2" fontId="27" fillId="0" borderId="23" xfId="0" applyNumberFormat="1" applyFont="1" applyFill="1" applyBorder="1" applyAlignment="1">
      <alignment horizontal="center" vertical="center" textRotation="90"/>
    </xf>
    <xf numFmtId="2" fontId="27" fillId="0" borderId="10" xfId="0" applyNumberFormat="1" applyFont="1" applyFill="1" applyBorder="1" applyAlignment="1">
      <alignment horizontal="center" vertical="center" textRotation="90"/>
    </xf>
    <xf numFmtId="2" fontId="27" fillId="0" borderId="10" xfId="0" applyNumberFormat="1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2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 vertical="center"/>
    </xf>
    <xf numFmtId="2" fontId="24" fillId="0" borderId="23" xfId="0" applyNumberFormat="1" applyFont="1" applyFill="1" applyBorder="1" applyAlignment="1">
      <alignment horizontal="right" vertical="center"/>
    </xf>
    <xf numFmtId="1" fontId="24" fillId="0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2" fontId="0" fillId="35" borderId="23" xfId="0" applyNumberFormat="1" applyFont="1" applyFill="1" applyBorder="1" applyAlignment="1">
      <alignment horizontal="right" vertical="center"/>
    </xf>
    <xf numFmtId="172" fontId="0" fillId="0" borderId="17" xfId="0" applyNumberFormat="1" applyBorder="1" applyAlignment="1" applyProtection="1">
      <alignment horizontal="center" vertical="center"/>
      <protection locked="0"/>
    </xf>
    <xf numFmtId="172" fontId="0" fillId="0" borderId="18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left" vertical="center"/>
    </xf>
    <xf numFmtId="182" fontId="24" fillId="0" borderId="10" xfId="5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 horizontal="center"/>
    </xf>
    <xf numFmtId="171" fontId="0" fillId="0" borderId="10" xfId="0" applyNumberFormat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7" fillId="34" borderId="40" xfId="0" applyFont="1" applyFill="1" applyBorder="1" applyAlignment="1" applyProtection="1">
      <alignment horizontal="center"/>
      <protection locked="0"/>
    </xf>
    <xf numFmtId="0" fontId="37" fillId="34" borderId="41" xfId="0" applyFont="1" applyFill="1" applyBorder="1" applyAlignment="1" applyProtection="1">
      <alignment horizontal="center"/>
      <protection locked="0"/>
    </xf>
    <xf numFmtId="0" fontId="37" fillId="34" borderId="42" xfId="0" applyFont="1" applyFill="1" applyBorder="1" applyAlignment="1" applyProtection="1">
      <alignment horizontal="center"/>
      <protection locked="0"/>
    </xf>
    <xf numFmtId="0" fontId="45" fillId="0" borderId="2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4" fillId="0" borderId="4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0" fontId="1" fillId="0" borderId="0" xfId="0" applyNumberFormat="1" applyFont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3" fontId="0" fillId="0" borderId="1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22" fillId="0" borderId="0" xfId="0" applyFont="1" applyAlignment="1">
      <alignment horizontal="center"/>
    </xf>
    <xf numFmtId="178" fontId="22" fillId="0" borderId="22" xfId="0" applyNumberFormat="1" applyFont="1" applyBorder="1" applyAlignment="1">
      <alignment horizontal="right"/>
    </xf>
    <xf numFmtId="178" fontId="0" fillId="0" borderId="23" xfId="0" applyNumberFormat="1" applyBorder="1" applyAlignment="1">
      <alignment/>
    </xf>
    <xf numFmtId="0" fontId="27" fillId="34" borderId="40" xfId="0" applyFont="1" applyFill="1" applyBorder="1" applyAlignment="1" applyProtection="1">
      <alignment horizontal="center"/>
      <protection locked="0"/>
    </xf>
    <xf numFmtId="0" fontId="27" fillId="34" borderId="41" xfId="0" applyFont="1" applyFill="1" applyBorder="1" applyAlignment="1" applyProtection="1">
      <alignment horizontal="center"/>
      <protection locked="0"/>
    </xf>
    <xf numFmtId="0" fontId="27" fillId="34" borderId="42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22" fillId="0" borderId="12" xfId="0" applyFont="1" applyBorder="1" applyAlignment="1">
      <alignment/>
    </xf>
    <xf numFmtId="0" fontId="22" fillId="0" borderId="2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3" xfId="0" applyFont="1" applyBorder="1" applyAlignment="1">
      <alignment vertical="top"/>
    </xf>
    <xf numFmtId="0" fontId="28" fillId="0" borderId="16" xfId="0" applyFont="1" applyBorder="1" applyAlignment="1">
      <alignment/>
    </xf>
    <xf numFmtId="0" fontId="28" fillId="0" borderId="16" xfId="0" applyFont="1" applyBorder="1" applyAlignment="1">
      <alignment horizontal="left" vertical="center"/>
    </xf>
    <xf numFmtId="10" fontId="6" fillId="0" borderId="14" xfId="0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6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43" fillId="34" borderId="22" xfId="0" applyFont="1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43" fillId="34" borderId="22" xfId="0" applyFont="1" applyFill="1" applyBorder="1" applyAlignment="1" applyProtection="1">
      <alignment horizontal="left"/>
      <protection locked="0"/>
    </xf>
    <xf numFmtId="0" fontId="17" fillId="34" borderId="27" xfId="0" applyFont="1" applyFill="1" applyBorder="1" applyAlignment="1" applyProtection="1">
      <alignment/>
      <protection locked="0"/>
    </xf>
    <xf numFmtId="0" fontId="17" fillId="34" borderId="23" xfId="0" applyFont="1" applyFill="1" applyBorder="1" applyAlignment="1" applyProtection="1">
      <alignment/>
      <protection locked="0"/>
    </xf>
    <xf numFmtId="14" fontId="43" fillId="34" borderId="22" xfId="0" applyNumberFormat="1" applyFont="1" applyFill="1" applyBorder="1" applyAlignment="1" applyProtection="1">
      <alignment horizontal="center"/>
      <protection locked="0"/>
    </xf>
    <xf numFmtId="0" fontId="10" fillId="34" borderId="27" xfId="0" applyFont="1" applyFill="1" applyBorder="1" applyAlignment="1" applyProtection="1">
      <alignment/>
      <protection locked="0"/>
    </xf>
    <xf numFmtId="0" fontId="10" fillId="34" borderId="23" xfId="0" applyFont="1" applyFill="1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46" fillId="34" borderId="27" xfId="0" applyFont="1" applyFill="1" applyBorder="1" applyAlignment="1" applyProtection="1">
      <alignment/>
      <protection locked="0"/>
    </xf>
    <xf numFmtId="0" fontId="46" fillId="0" borderId="27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7" xfId="0" applyFont="1" applyBorder="1" applyAlignment="1" applyProtection="1">
      <alignment/>
      <protection locked="0"/>
    </xf>
    <xf numFmtId="0" fontId="46" fillId="0" borderId="23" xfId="0" applyFont="1" applyBorder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37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22</xdr:row>
      <xdr:rowOff>66675</xdr:rowOff>
    </xdr:from>
    <xdr:to>
      <xdr:col>4</xdr:col>
      <xdr:colOff>733425</xdr:colOff>
      <xdr:row>22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362450" y="4552950"/>
          <a:ext cx="2000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23</xdr:row>
      <xdr:rowOff>66675</xdr:rowOff>
    </xdr:from>
    <xdr:to>
      <xdr:col>4</xdr:col>
      <xdr:colOff>733425</xdr:colOff>
      <xdr:row>23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4362450" y="4752975"/>
          <a:ext cx="2000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24</xdr:row>
      <xdr:rowOff>66675</xdr:rowOff>
    </xdr:from>
    <xdr:to>
      <xdr:col>4</xdr:col>
      <xdr:colOff>733425</xdr:colOff>
      <xdr:row>24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4362450" y="4953000"/>
          <a:ext cx="2000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25</xdr:row>
      <xdr:rowOff>66675</xdr:rowOff>
    </xdr:from>
    <xdr:to>
      <xdr:col>4</xdr:col>
      <xdr:colOff>733425</xdr:colOff>
      <xdr:row>25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4362450" y="5153025"/>
          <a:ext cx="2000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28</xdr:row>
      <xdr:rowOff>76200</xdr:rowOff>
    </xdr:from>
    <xdr:to>
      <xdr:col>0</xdr:col>
      <xdr:colOff>847725</xdr:colOff>
      <xdr:row>28</xdr:row>
      <xdr:rowOff>85725</xdr:rowOff>
    </xdr:to>
    <xdr:sp>
      <xdr:nvSpPr>
        <xdr:cNvPr id="5" name="Line 5"/>
        <xdr:cNvSpPr>
          <a:spLocks/>
        </xdr:cNvSpPr>
      </xdr:nvSpPr>
      <xdr:spPr>
        <a:xfrm>
          <a:off x="638175" y="5724525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28</xdr:row>
      <xdr:rowOff>104775</xdr:rowOff>
    </xdr:from>
    <xdr:to>
      <xdr:col>2</xdr:col>
      <xdr:colOff>1295400</xdr:colOff>
      <xdr:row>28</xdr:row>
      <xdr:rowOff>104775</xdr:rowOff>
    </xdr:to>
    <xdr:sp>
      <xdr:nvSpPr>
        <xdr:cNvPr id="6" name="Line 6"/>
        <xdr:cNvSpPr>
          <a:spLocks/>
        </xdr:cNvSpPr>
      </xdr:nvSpPr>
      <xdr:spPr>
        <a:xfrm>
          <a:off x="2495550" y="5753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1219200</xdr:colOff>
      <xdr:row>28</xdr:row>
      <xdr:rowOff>95250</xdr:rowOff>
    </xdr:from>
    <xdr:to>
      <xdr:col>4</xdr:col>
      <xdr:colOff>1381125</xdr:colOff>
      <xdr:row>28</xdr:row>
      <xdr:rowOff>95250</xdr:rowOff>
    </xdr:to>
    <xdr:sp>
      <xdr:nvSpPr>
        <xdr:cNvPr id="7" name="Line 7"/>
        <xdr:cNvSpPr>
          <a:spLocks/>
        </xdr:cNvSpPr>
      </xdr:nvSpPr>
      <xdr:spPr>
        <a:xfrm>
          <a:off x="5048250" y="57435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33</xdr:row>
      <xdr:rowOff>95250</xdr:rowOff>
    </xdr:from>
    <xdr:to>
      <xdr:col>2</xdr:col>
      <xdr:colOff>1304925</xdr:colOff>
      <xdr:row>33</xdr:row>
      <xdr:rowOff>95250</xdr:rowOff>
    </xdr:to>
    <xdr:sp>
      <xdr:nvSpPr>
        <xdr:cNvPr id="8" name="Line 8"/>
        <xdr:cNvSpPr>
          <a:spLocks/>
        </xdr:cNvSpPr>
      </xdr:nvSpPr>
      <xdr:spPr>
        <a:xfrm>
          <a:off x="2524125" y="66865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34</xdr:row>
      <xdr:rowOff>95250</xdr:rowOff>
    </xdr:from>
    <xdr:to>
      <xdr:col>2</xdr:col>
      <xdr:colOff>1304925</xdr:colOff>
      <xdr:row>34</xdr:row>
      <xdr:rowOff>95250</xdr:rowOff>
    </xdr:to>
    <xdr:sp>
      <xdr:nvSpPr>
        <xdr:cNvPr id="9" name="Line 9"/>
        <xdr:cNvSpPr>
          <a:spLocks/>
        </xdr:cNvSpPr>
      </xdr:nvSpPr>
      <xdr:spPr>
        <a:xfrm>
          <a:off x="2524125" y="6867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35</xdr:row>
      <xdr:rowOff>95250</xdr:rowOff>
    </xdr:from>
    <xdr:to>
      <xdr:col>2</xdr:col>
      <xdr:colOff>1304925</xdr:colOff>
      <xdr:row>35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2524125" y="7048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36</xdr:row>
      <xdr:rowOff>95250</xdr:rowOff>
    </xdr:from>
    <xdr:to>
      <xdr:col>2</xdr:col>
      <xdr:colOff>1304925</xdr:colOff>
      <xdr:row>36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2524125" y="7229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37</xdr:row>
      <xdr:rowOff>95250</xdr:rowOff>
    </xdr:from>
    <xdr:to>
      <xdr:col>2</xdr:col>
      <xdr:colOff>1304925</xdr:colOff>
      <xdr:row>37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2524125" y="7410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38</xdr:row>
      <xdr:rowOff>95250</xdr:rowOff>
    </xdr:from>
    <xdr:to>
      <xdr:col>2</xdr:col>
      <xdr:colOff>1304925</xdr:colOff>
      <xdr:row>38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2524125" y="7591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33</xdr:row>
      <xdr:rowOff>95250</xdr:rowOff>
    </xdr:from>
    <xdr:to>
      <xdr:col>5</xdr:col>
      <xdr:colOff>923925</xdr:colOff>
      <xdr:row>33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010275" y="6686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34</xdr:row>
      <xdr:rowOff>95250</xdr:rowOff>
    </xdr:from>
    <xdr:to>
      <xdr:col>5</xdr:col>
      <xdr:colOff>923925</xdr:colOff>
      <xdr:row>34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6010275" y="6867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95250</xdr:rowOff>
    </xdr:from>
    <xdr:to>
      <xdr:col>5</xdr:col>
      <xdr:colOff>923925</xdr:colOff>
      <xdr:row>35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6010275" y="7048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36</xdr:row>
      <xdr:rowOff>95250</xdr:rowOff>
    </xdr:from>
    <xdr:to>
      <xdr:col>5</xdr:col>
      <xdr:colOff>923925</xdr:colOff>
      <xdr:row>36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6010275" y="7229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37</xdr:row>
      <xdr:rowOff>95250</xdr:rowOff>
    </xdr:from>
    <xdr:to>
      <xdr:col>5</xdr:col>
      <xdr:colOff>923925</xdr:colOff>
      <xdr:row>37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6010275" y="7410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81075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81075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81075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81075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9810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9810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9810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981075" y="7429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5743575" y="11906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5743575" y="1190625"/>
          <a:ext cx="1533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5</xdr:row>
      <xdr:rowOff>0</xdr:rowOff>
    </xdr:from>
    <xdr:to>
      <xdr:col>12</xdr:col>
      <xdr:colOff>304800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872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5</xdr:row>
      <xdr:rowOff>0</xdr:rowOff>
    </xdr:from>
    <xdr:to>
      <xdr:col>12</xdr:col>
      <xdr:colOff>304800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8724900" y="11906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PageLayoutView="0" workbookViewId="0" topLeftCell="A1">
      <selection activeCell="A51" sqref="A51:K51"/>
    </sheetView>
  </sheetViews>
  <sheetFormatPr defaultColWidth="9.140625" defaultRowHeight="12.75"/>
  <cols>
    <col min="1" max="1" width="5.00390625" style="223" customWidth="1"/>
    <col min="2" max="2" width="9.140625" style="223" customWidth="1"/>
    <col min="3" max="4" width="9.7109375" style="223" bestFit="1" customWidth="1"/>
    <col min="5" max="6" width="9.140625" style="223" customWidth="1"/>
    <col min="7" max="7" width="2.140625" style="223" customWidth="1"/>
    <col min="8" max="10" width="9.140625" style="223" customWidth="1"/>
    <col min="11" max="11" width="10.7109375" style="223" bestFit="1" customWidth="1"/>
    <col min="12" max="16384" width="9.140625" style="223" customWidth="1"/>
  </cols>
  <sheetData>
    <row r="1" spans="1:11" s="220" customFormat="1" ht="15">
      <c r="A1" s="369" t="s">
        <v>397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s="220" customFormat="1" ht="15">
      <c r="A2" s="369" t="s">
        <v>671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3" ht="11.25">
      <c r="A3" s="221" t="s">
        <v>398</v>
      </c>
      <c r="B3" s="222" t="s">
        <v>399</v>
      </c>
      <c r="C3" s="221"/>
    </row>
    <row r="4" ht="11.25">
      <c r="B4" s="223" t="s">
        <v>400</v>
      </c>
    </row>
    <row r="5" spans="2:5" ht="11.25">
      <c r="B5" s="284" t="s">
        <v>401</v>
      </c>
      <c r="C5" s="373"/>
      <c r="D5" s="374"/>
      <c r="E5" s="375"/>
    </row>
    <row r="6" spans="2:5" ht="11.25">
      <c r="B6" s="224" t="s">
        <v>402</v>
      </c>
      <c r="C6" s="290"/>
      <c r="D6" s="224" t="s">
        <v>403</v>
      </c>
      <c r="E6" s="290"/>
    </row>
    <row r="7" spans="2:5" ht="11.25">
      <c r="B7" s="223" t="s">
        <v>404</v>
      </c>
      <c r="E7" s="225"/>
    </row>
    <row r="8" spans="2:5" ht="11.25">
      <c r="B8" s="223" t="s">
        <v>401</v>
      </c>
      <c r="C8" s="373"/>
      <c r="D8" s="374"/>
      <c r="E8" s="375"/>
    </row>
    <row r="9" spans="2:5" ht="11.25">
      <c r="B9" s="224" t="s">
        <v>402</v>
      </c>
      <c r="C9" s="290"/>
      <c r="D9" s="224" t="s">
        <v>403</v>
      </c>
      <c r="E9" s="290"/>
    </row>
    <row r="10" spans="1:4" ht="11.25">
      <c r="A10" s="221" t="s">
        <v>405</v>
      </c>
      <c r="B10" s="222" t="s">
        <v>406</v>
      </c>
      <c r="C10" s="222"/>
      <c r="D10" s="222"/>
    </row>
    <row r="11" spans="2:6" ht="11.25">
      <c r="B11" s="223" t="s">
        <v>400</v>
      </c>
      <c r="E11" s="226" t="s">
        <v>407</v>
      </c>
      <c r="F11" s="227" t="s">
        <v>408</v>
      </c>
    </row>
    <row r="12" spans="2:8" ht="11.25">
      <c r="B12" s="223" t="s">
        <v>409</v>
      </c>
      <c r="E12" s="289"/>
      <c r="F12" s="228">
        <v>100</v>
      </c>
      <c r="G12" s="223" t="s">
        <v>410</v>
      </c>
      <c r="H12" s="229">
        <f>E6/F12*E12</f>
        <v>0</v>
      </c>
    </row>
    <row r="13" spans="5:8" ht="11.25">
      <c r="E13" s="286" t="s">
        <v>407</v>
      </c>
      <c r="F13" s="228" t="s">
        <v>411</v>
      </c>
      <c r="H13" s="225"/>
    </row>
    <row r="14" spans="5:8" ht="11.25">
      <c r="E14" s="289"/>
      <c r="F14" s="231">
        <v>100</v>
      </c>
      <c r="G14" s="223" t="s">
        <v>410</v>
      </c>
      <c r="H14" s="232">
        <f>C6/F14*E14</f>
        <v>0</v>
      </c>
    </row>
    <row r="15" spans="4:8" ht="11.25">
      <c r="D15" s="233" t="s">
        <v>412</v>
      </c>
      <c r="E15" s="234"/>
      <c r="F15" s="235"/>
      <c r="G15" s="235" t="s">
        <v>410</v>
      </c>
      <c r="H15" s="236">
        <f>SUM(H12:H14)</f>
        <v>0</v>
      </c>
    </row>
    <row r="16" spans="2:8" ht="11.25">
      <c r="B16" s="223" t="s">
        <v>413</v>
      </c>
      <c r="E16" s="237" t="s">
        <v>407</v>
      </c>
      <c r="F16" s="230" t="s">
        <v>411</v>
      </c>
      <c r="H16" s="225"/>
    </row>
    <row r="17" spans="5:8" ht="11.25">
      <c r="E17" s="289"/>
      <c r="F17" s="238">
        <v>100</v>
      </c>
      <c r="G17" s="223" t="s">
        <v>410</v>
      </c>
      <c r="H17" s="225">
        <f>C6/F17*E17</f>
        <v>0</v>
      </c>
    </row>
    <row r="18" spans="4:8" ht="11.25">
      <c r="D18" s="239" t="s">
        <v>414</v>
      </c>
      <c r="E18" s="287"/>
      <c r="F18" s="240"/>
      <c r="G18" s="240" t="s">
        <v>410</v>
      </c>
      <c r="H18" s="241">
        <f>SUM(H17)</f>
        <v>0</v>
      </c>
    </row>
    <row r="19" spans="1:6" ht="11.25">
      <c r="A19" s="221" t="s">
        <v>415</v>
      </c>
      <c r="B19" s="222" t="s">
        <v>404</v>
      </c>
      <c r="C19" s="221"/>
      <c r="E19" s="226" t="s">
        <v>407</v>
      </c>
      <c r="F19" s="227" t="s">
        <v>408</v>
      </c>
    </row>
    <row r="20" spans="2:8" ht="11.25">
      <c r="B20" s="223" t="s">
        <v>416</v>
      </c>
      <c r="E20" s="289"/>
      <c r="F20" s="228">
        <v>100</v>
      </c>
      <c r="G20" s="223" t="s">
        <v>410</v>
      </c>
      <c r="H20" s="229">
        <f>E9/F20*E20</f>
        <v>0</v>
      </c>
    </row>
    <row r="21" spans="5:8" ht="11.25">
      <c r="E21" s="285" t="s">
        <v>407</v>
      </c>
      <c r="F21" s="227" t="s">
        <v>411</v>
      </c>
      <c r="H21" s="225"/>
    </row>
    <row r="22" spans="5:8" ht="11.25">
      <c r="E22" s="289"/>
      <c r="F22" s="231">
        <v>100</v>
      </c>
      <c r="G22" s="223" t="s">
        <v>410</v>
      </c>
      <c r="H22" s="225">
        <f>C9/100*E22</f>
        <v>0</v>
      </c>
    </row>
    <row r="23" spans="4:8" ht="11.25">
      <c r="D23" s="239" t="s">
        <v>417</v>
      </c>
      <c r="E23" s="287"/>
      <c r="F23" s="240"/>
      <c r="G23" s="240" t="s">
        <v>410</v>
      </c>
      <c r="H23" s="241">
        <f>SUM(H20:H22)</f>
        <v>0</v>
      </c>
    </row>
    <row r="24" spans="2:8" ht="11.25">
      <c r="B24" s="223" t="s">
        <v>418</v>
      </c>
      <c r="E24" s="285" t="s">
        <v>407</v>
      </c>
      <c r="F24" s="242" t="s">
        <v>411</v>
      </c>
      <c r="H24" s="225"/>
    </row>
    <row r="25" spans="5:8" ht="11.25">
      <c r="E25" s="289"/>
      <c r="F25" s="231">
        <v>100</v>
      </c>
      <c r="G25" s="223" t="s">
        <v>410</v>
      </c>
      <c r="H25" s="225">
        <f>C9/100*E25</f>
        <v>0</v>
      </c>
    </row>
    <row r="26" spans="4:8" ht="11.25">
      <c r="D26" s="239" t="s">
        <v>419</v>
      </c>
      <c r="E26" s="287"/>
      <c r="F26" s="240"/>
      <c r="G26" s="240" t="s">
        <v>410</v>
      </c>
      <c r="H26" s="241">
        <f>SUM(H25)</f>
        <v>0</v>
      </c>
    </row>
    <row r="27" spans="1:3" ht="11.25">
      <c r="A27" s="221" t="s">
        <v>420</v>
      </c>
      <c r="B27" s="222" t="s">
        <v>421</v>
      </c>
      <c r="C27" s="221"/>
    </row>
    <row r="28" spans="4:8" ht="11.25">
      <c r="D28" s="239" t="s">
        <v>422</v>
      </c>
      <c r="E28" s="240"/>
      <c r="F28" s="240"/>
      <c r="G28" s="240" t="s">
        <v>410</v>
      </c>
      <c r="H28" s="243">
        <f>H23-H15</f>
        <v>0</v>
      </c>
    </row>
    <row r="29" spans="4:8" ht="11.25">
      <c r="D29" s="239" t="s">
        <v>423</v>
      </c>
      <c r="E29" s="240"/>
      <c r="F29" s="240"/>
      <c r="G29" s="240" t="s">
        <v>410</v>
      </c>
      <c r="H29" s="243">
        <f>H26-H18</f>
        <v>0</v>
      </c>
    </row>
    <row r="30" spans="1:5" ht="11.25">
      <c r="A30" s="222" t="s">
        <v>424</v>
      </c>
      <c r="B30" s="222" t="s">
        <v>425</v>
      </c>
      <c r="C30" s="222"/>
      <c r="D30" s="222"/>
      <c r="E30" s="222"/>
    </row>
    <row r="31" spans="1:2" ht="11.25">
      <c r="A31" s="223" t="s">
        <v>426</v>
      </c>
      <c r="B31" s="223" t="s">
        <v>442</v>
      </c>
    </row>
    <row r="32" spans="2:9" ht="11.25">
      <c r="B32" s="223" t="s">
        <v>501</v>
      </c>
      <c r="G32" s="223" t="s">
        <v>153</v>
      </c>
      <c r="H32" s="223">
        <v>21.40226</v>
      </c>
      <c r="I32" s="223" t="s">
        <v>427</v>
      </c>
    </row>
    <row r="33" spans="2:9" ht="11.25">
      <c r="B33" s="223" t="s">
        <v>428</v>
      </c>
      <c r="G33" s="223" t="s">
        <v>153</v>
      </c>
      <c r="H33" s="288"/>
      <c r="I33" s="223" t="s">
        <v>410</v>
      </c>
    </row>
    <row r="34" spans="7:8" ht="11.25">
      <c r="G34" s="223" t="s">
        <v>153</v>
      </c>
      <c r="H34" s="223">
        <f>SUM(H32:H33)</f>
        <v>21.40226</v>
      </c>
    </row>
    <row r="35" spans="4:8" ht="11.25">
      <c r="D35" s="368" t="s">
        <v>429</v>
      </c>
      <c r="E35" s="368"/>
      <c r="F35" s="288"/>
      <c r="G35" s="223" t="s">
        <v>153</v>
      </c>
      <c r="H35" s="225">
        <f>F35*H34</f>
        <v>0</v>
      </c>
    </row>
    <row r="36" spans="1:2" ht="11.25">
      <c r="A36" s="223" t="s">
        <v>430</v>
      </c>
      <c r="B36" s="223" t="s">
        <v>443</v>
      </c>
    </row>
    <row r="37" spans="2:9" ht="11.25">
      <c r="B37" s="223" t="s">
        <v>502</v>
      </c>
      <c r="G37" s="223" t="s">
        <v>153</v>
      </c>
      <c r="H37" s="223">
        <v>24.45973</v>
      </c>
      <c r="I37" s="223" t="s">
        <v>427</v>
      </c>
    </row>
    <row r="38" spans="2:9" ht="11.25">
      <c r="B38" s="223" t="s">
        <v>428</v>
      </c>
      <c r="G38" s="223" t="s">
        <v>153</v>
      </c>
      <c r="H38" s="288"/>
      <c r="I38" s="223" t="s">
        <v>410</v>
      </c>
    </row>
    <row r="39" spans="7:8" ht="11.25">
      <c r="G39" s="223" t="s">
        <v>153</v>
      </c>
      <c r="H39" s="223">
        <f>SUM(H37:H38)</f>
        <v>24.45973</v>
      </c>
    </row>
    <row r="40" spans="4:8" ht="11.25">
      <c r="D40" s="368" t="s">
        <v>429</v>
      </c>
      <c r="E40" s="368"/>
      <c r="F40" s="288"/>
      <c r="G40" s="223" t="s">
        <v>153</v>
      </c>
      <c r="H40" s="225">
        <f>H39*F40</f>
        <v>0</v>
      </c>
    </row>
    <row r="41" spans="1:2" ht="11.25">
      <c r="A41" s="223" t="s">
        <v>431</v>
      </c>
      <c r="B41" s="223" t="s">
        <v>444</v>
      </c>
    </row>
    <row r="42" spans="2:9" ht="11.25">
      <c r="B42" s="223" t="s">
        <v>503</v>
      </c>
      <c r="G42" s="223" t="s">
        <v>153</v>
      </c>
      <c r="H42" s="223">
        <v>1.019916</v>
      </c>
      <c r="I42" s="223" t="s">
        <v>427</v>
      </c>
    </row>
    <row r="43" spans="2:9" ht="11.25">
      <c r="B43" s="223" t="s">
        <v>428</v>
      </c>
      <c r="G43" s="223" t="s">
        <v>153</v>
      </c>
      <c r="H43" s="288"/>
      <c r="I43" s="223" t="s">
        <v>410</v>
      </c>
    </row>
    <row r="44" spans="7:8" ht="11.25">
      <c r="G44" s="223" t="s">
        <v>153</v>
      </c>
      <c r="H44" s="223">
        <f>SUM(H42:H43)</f>
        <v>1.019916</v>
      </c>
    </row>
    <row r="45" spans="4:8" ht="11.25">
      <c r="D45" s="368" t="s">
        <v>432</v>
      </c>
      <c r="E45" s="368"/>
      <c r="F45" s="288"/>
      <c r="G45" s="223" t="s">
        <v>153</v>
      </c>
      <c r="H45" s="225">
        <f>F45*H44</f>
        <v>0</v>
      </c>
    </row>
    <row r="46" spans="2:8" ht="11.25">
      <c r="B46" s="244" t="s">
        <v>433</v>
      </c>
      <c r="C46" s="245"/>
      <c r="D46" s="245"/>
      <c r="E46" s="245"/>
      <c r="F46" s="245"/>
      <c r="G46" s="245" t="s">
        <v>153</v>
      </c>
      <c r="H46" s="246">
        <f>H45+H40+H35</f>
        <v>0</v>
      </c>
    </row>
    <row r="47" spans="2:8" ht="11.25">
      <c r="B47" s="247" t="s">
        <v>434</v>
      </c>
      <c r="C47" s="248" t="s">
        <v>422</v>
      </c>
      <c r="D47" s="248"/>
      <c r="E47" s="249" t="s">
        <v>153</v>
      </c>
      <c r="F47" s="250">
        <f>H35+H40</f>
        <v>0</v>
      </c>
      <c r="G47" s="248"/>
      <c r="H47" s="251"/>
    </row>
    <row r="48" spans="2:8" ht="11.25">
      <c r="B48" s="252"/>
      <c r="C48" s="253" t="s">
        <v>423</v>
      </c>
      <c r="D48" s="253"/>
      <c r="E48" s="254" t="s">
        <v>153</v>
      </c>
      <c r="F48" s="255">
        <f>H45</f>
        <v>0</v>
      </c>
      <c r="G48" s="253"/>
      <c r="H48" s="256"/>
    </row>
    <row r="50" spans="1:11" s="257" customFormat="1" ht="15.75">
      <c r="A50" s="370" t="s">
        <v>672</v>
      </c>
      <c r="B50" s="371"/>
      <c r="C50" s="371"/>
      <c r="D50" s="371"/>
      <c r="E50" s="371"/>
      <c r="F50" s="371"/>
      <c r="G50" s="371"/>
      <c r="H50" s="371"/>
      <c r="I50" s="371"/>
      <c r="J50" s="371"/>
      <c r="K50" s="372"/>
    </row>
    <row r="51" spans="1:11" s="257" customFormat="1" ht="12.75">
      <c r="A51" s="365" t="s">
        <v>673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7"/>
    </row>
    <row r="52" spans="1:11" s="261" customFormat="1" ht="12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60"/>
    </row>
    <row r="53" spans="1:11" s="261" customFormat="1" ht="12">
      <c r="A53" s="258" t="s">
        <v>169</v>
      </c>
      <c r="B53" s="259" t="s">
        <v>435</v>
      </c>
      <c r="C53" s="259"/>
      <c r="D53" s="259"/>
      <c r="E53" s="259"/>
      <c r="F53" s="259"/>
      <c r="G53" s="259"/>
      <c r="H53" s="259"/>
      <c r="I53" s="259"/>
      <c r="J53" s="259"/>
      <c r="K53" s="262">
        <f>H46</f>
        <v>0</v>
      </c>
    </row>
    <row r="54" spans="1:11" s="261" customFormat="1" ht="12">
      <c r="A54" s="258"/>
      <c r="B54" s="259"/>
      <c r="C54" s="259" t="s">
        <v>434</v>
      </c>
      <c r="D54" s="263">
        <f>F47</f>
        <v>0</v>
      </c>
      <c r="E54" s="259" t="s">
        <v>422</v>
      </c>
      <c r="F54" s="259"/>
      <c r="G54" s="259"/>
      <c r="H54" s="259"/>
      <c r="I54" s="259"/>
      <c r="J54" s="259"/>
      <c r="K54" s="260"/>
    </row>
    <row r="55" spans="1:11" s="261" customFormat="1" ht="12">
      <c r="A55" s="258"/>
      <c r="B55" s="259"/>
      <c r="C55" s="264" t="s">
        <v>434</v>
      </c>
      <c r="D55" s="263">
        <f>F48</f>
        <v>0</v>
      </c>
      <c r="E55" s="259" t="s">
        <v>423</v>
      </c>
      <c r="F55" s="259"/>
      <c r="G55" s="259"/>
      <c r="H55" s="259"/>
      <c r="I55" s="259"/>
      <c r="J55" s="259"/>
      <c r="K55" s="260"/>
    </row>
    <row r="56" spans="1:11" s="261" customFormat="1" ht="12">
      <c r="A56" s="258"/>
      <c r="B56" s="259"/>
      <c r="C56" s="259"/>
      <c r="D56" s="259"/>
      <c r="E56" s="259"/>
      <c r="F56" s="259"/>
      <c r="G56" s="259"/>
      <c r="H56" s="259"/>
      <c r="I56" s="259"/>
      <c r="J56" s="259"/>
      <c r="K56" s="260"/>
    </row>
    <row r="57" spans="1:11" s="261" customFormat="1" ht="12">
      <c r="A57" s="258" t="s">
        <v>169</v>
      </c>
      <c r="B57" s="259" t="s">
        <v>436</v>
      </c>
      <c r="C57" s="259"/>
      <c r="D57" s="259"/>
      <c r="E57" s="259"/>
      <c r="F57" s="259"/>
      <c r="G57" s="259"/>
      <c r="H57" s="259"/>
      <c r="I57" s="259"/>
      <c r="J57" s="259"/>
      <c r="K57" s="260"/>
    </row>
    <row r="58" spans="1:11" s="261" customFormat="1" ht="12">
      <c r="A58" s="258"/>
      <c r="B58" s="259" t="s">
        <v>172</v>
      </c>
      <c r="C58" s="265">
        <f>K53/4</f>
        <v>0</v>
      </c>
      <c r="D58" s="259" t="s">
        <v>437</v>
      </c>
      <c r="E58" s="266">
        <f>F47/4</f>
        <v>0</v>
      </c>
      <c r="F58" s="259" t="s">
        <v>422</v>
      </c>
      <c r="G58" s="259"/>
      <c r="H58" s="259"/>
      <c r="I58" s="259"/>
      <c r="J58" s="259"/>
      <c r="K58" s="260"/>
    </row>
    <row r="59" spans="1:11" s="261" customFormat="1" ht="12">
      <c r="A59" s="258"/>
      <c r="B59" s="259"/>
      <c r="C59" s="259"/>
      <c r="D59" s="259" t="s">
        <v>437</v>
      </c>
      <c r="E59" s="266">
        <f>F48/4</f>
        <v>0</v>
      </c>
      <c r="F59" s="259" t="s">
        <v>423</v>
      </c>
      <c r="G59" s="259"/>
      <c r="H59" s="259"/>
      <c r="I59" s="259"/>
      <c r="J59" s="259"/>
      <c r="K59" s="260"/>
    </row>
    <row r="60" spans="1:11" s="261" customFormat="1" ht="12">
      <c r="A60" s="258"/>
      <c r="B60" s="259"/>
      <c r="C60" s="259"/>
      <c r="D60" s="259" t="s">
        <v>173</v>
      </c>
      <c r="E60" s="259"/>
      <c r="F60" s="259"/>
      <c r="G60" s="259"/>
      <c r="H60" s="259"/>
      <c r="I60" s="259"/>
      <c r="J60" s="259"/>
      <c r="K60" s="260"/>
    </row>
    <row r="61" spans="1:11" s="261" customFormat="1" ht="12">
      <c r="A61" s="258"/>
      <c r="B61" s="259" t="s">
        <v>174</v>
      </c>
      <c r="C61" s="265">
        <f>K53/4</f>
        <v>0</v>
      </c>
      <c r="D61" s="259" t="s">
        <v>437</v>
      </c>
      <c r="E61" s="266">
        <f>E58</f>
        <v>0</v>
      </c>
      <c r="F61" s="259" t="s">
        <v>422</v>
      </c>
      <c r="G61" s="259"/>
      <c r="H61" s="259"/>
      <c r="I61" s="259"/>
      <c r="J61" s="259"/>
      <c r="K61" s="260"/>
    </row>
    <row r="62" spans="1:11" s="261" customFormat="1" ht="12">
      <c r="A62" s="258"/>
      <c r="B62" s="259"/>
      <c r="C62" s="259"/>
      <c r="D62" s="259" t="s">
        <v>437</v>
      </c>
      <c r="E62" s="266">
        <f>E59</f>
        <v>0</v>
      </c>
      <c r="F62" s="259" t="s">
        <v>423</v>
      </c>
      <c r="G62" s="259"/>
      <c r="H62" s="259"/>
      <c r="I62" s="259"/>
      <c r="J62" s="259"/>
      <c r="K62" s="260"/>
    </row>
    <row r="63" spans="1:11" s="261" customFormat="1" ht="12">
      <c r="A63" s="258"/>
      <c r="B63" s="259"/>
      <c r="C63" s="259"/>
      <c r="D63" s="259" t="s">
        <v>438</v>
      </c>
      <c r="E63" s="259"/>
      <c r="F63" s="259"/>
      <c r="G63" s="259"/>
      <c r="H63" s="259"/>
      <c r="I63" s="259"/>
      <c r="J63" s="259"/>
      <c r="K63" s="260"/>
    </row>
    <row r="64" spans="1:11" s="261" customFormat="1" ht="12">
      <c r="A64" s="258"/>
      <c r="B64" s="259" t="s">
        <v>176</v>
      </c>
      <c r="C64" s="265">
        <f>K53/4</f>
        <v>0</v>
      </c>
      <c r="D64" s="259" t="s">
        <v>437</v>
      </c>
      <c r="E64" s="266">
        <f>F47/4</f>
        <v>0</v>
      </c>
      <c r="F64" s="259" t="s">
        <v>422</v>
      </c>
      <c r="G64" s="259"/>
      <c r="H64" s="259"/>
      <c r="I64" s="259"/>
      <c r="J64" s="259"/>
      <c r="K64" s="260"/>
    </row>
    <row r="65" spans="1:11" s="261" customFormat="1" ht="12">
      <c r="A65" s="258"/>
      <c r="B65" s="259"/>
      <c r="C65" s="259"/>
      <c r="D65" s="259" t="s">
        <v>437</v>
      </c>
      <c r="E65" s="266">
        <f>F48/4</f>
        <v>0</v>
      </c>
      <c r="F65" s="259" t="s">
        <v>423</v>
      </c>
      <c r="G65" s="259"/>
      <c r="H65" s="259"/>
      <c r="I65" s="259"/>
      <c r="J65" s="259"/>
      <c r="K65" s="260"/>
    </row>
    <row r="66" spans="1:11" s="261" customFormat="1" ht="12">
      <c r="A66" s="258"/>
      <c r="B66" s="259"/>
      <c r="C66" s="259"/>
      <c r="D66" s="259" t="s">
        <v>177</v>
      </c>
      <c r="E66" s="259"/>
      <c r="F66" s="259"/>
      <c r="G66" s="259"/>
      <c r="H66" s="259"/>
      <c r="I66" s="259"/>
      <c r="J66" s="259"/>
      <c r="K66" s="260"/>
    </row>
    <row r="67" spans="1:11" s="261" customFormat="1" ht="12">
      <c r="A67" s="258"/>
      <c r="B67" s="259" t="s">
        <v>178</v>
      </c>
      <c r="C67" s="265">
        <f>K53/4</f>
        <v>0</v>
      </c>
      <c r="D67" s="259" t="s">
        <v>437</v>
      </c>
      <c r="E67" s="266">
        <f>D54/4</f>
        <v>0</v>
      </c>
      <c r="F67" s="259" t="s">
        <v>422</v>
      </c>
      <c r="G67" s="259"/>
      <c r="H67" s="259"/>
      <c r="I67" s="259"/>
      <c r="J67" s="259"/>
      <c r="K67" s="260"/>
    </row>
    <row r="68" spans="1:11" s="261" customFormat="1" ht="12">
      <c r="A68" s="258"/>
      <c r="B68" s="259"/>
      <c r="C68" s="259"/>
      <c r="D68" s="259" t="s">
        <v>437</v>
      </c>
      <c r="E68" s="266">
        <f>D55/4</f>
        <v>0</v>
      </c>
      <c r="F68" s="259" t="s">
        <v>423</v>
      </c>
      <c r="G68" s="259"/>
      <c r="H68" s="259"/>
      <c r="I68" s="259"/>
      <c r="J68" s="259"/>
      <c r="K68" s="260"/>
    </row>
    <row r="69" spans="1:11" s="261" customFormat="1" ht="12">
      <c r="A69" s="258"/>
      <c r="B69" s="259"/>
      <c r="C69" s="259"/>
      <c r="D69" s="259" t="s">
        <v>179</v>
      </c>
      <c r="E69" s="259"/>
      <c r="F69" s="259"/>
      <c r="G69" s="259"/>
      <c r="H69" s="259"/>
      <c r="I69" s="259"/>
      <c r="J69" s="259"/>
      <c r="K69" s="260"/>
    </row>
    <row r="70" spans="1:11" s="261" customFormat="1" ht="12">
      <c r="A70" s="258"/>
      <c r="B70" s="259" t="s">
        <v>439</v>
      </c>
      <c r="C70" s="259"/>
      <c r="D70" s="259"/>
      <c r="E70" s="259"/>
      <c r="F70" s="259"/>
      <c r="G70" s="259"/>
      <c r="H70" s="259"/>
      <c r="I70" s="259"/>
      <c r="J70" s="259"/>
      <c r="K70" s="260"/>
    </row>
    <row r="71" spans="1:11" s="261" customFormat="1" ht="12">
      <c r="A71" s="267"/>
      <c r="B71" s="268" t="s">
        <v>440</v>
      </c>
      <c r="C71" s="268"/>
      <c r="D71" s="269">
        <f>C67+C64+C61</f>
        <v>0</v>
      </c>
      <c r="E71" s="268" t="s">
        <v>441</v>
      </c>
      <c r="F71" s="268"/>
      <c r="G71" s="268"/>
      <c r="H71" s="268"/>
      <c r="I71" s="268"/>
      <c r="J71" s="268"/>
      <c r="K71" s="270"/>
    </row>
    <row r="72" s="257" customFormat="1" ht="12.75"/>
  </sheetData>
  <sheetProtection/>
  <mergeCells count="9">
    <mergeCell ref="A51:K51"/>
    <mergeCell ref="D45:E45"/>
    <mergeCell ref="A1:K1"/>
    <mergeCell ref="A2:K2"/>
    <mergeCell ref="A50:K50"/>
    <mergeCell ref="C5:E5"/>
    <mergeCell ref="C8:E8"/>
    <mergeCell ref="D40:E40"/>
    <mergeCell ref="D35:E35"/>
  </mergeCells>
  <printOptions horizontalCentered="1"/>
  <pageMargins left="0.5905511811023623" right="0.5905511811023623" top="0.3937007874015748" bottom="0.3937007874015748" header="0.11811023622047245" footer="0.5118110236220472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A1">
      <selection activeCell="C4" activeCellId="1" sqref="C3 C4"/>
    </sheetView>
  </sheetViews>
  <sheetFormatPr defaultColWidth="9.140625" defaultRowHeight="12.75"/>
  <cols>
    <col min="1" max="1" width="35.7109375" style="13" customWidth="1"/>
    <col min="2" max="2" width="5.7109375" style="13" customWidth="1"/>
    <col min="3" max="3" width="10.7109375" style="13" customWidth="1"/>
    <col min="4" max="16384" width="9.140625" style="13" customWidth="1"/>
  </cols>
  <sheetData>
    <row r="1" spans="1:2" ht="12.75">
      <c r="A1" s="15" t="s">
        <v>73</v>
      </c>
      <c r="B1" s="15"/>
    </row>
    <row r="2" spans="1:5" ht="12.75">
      <c r="A2" s="15"/>
      <c r="B2" s="15"/>
      <c r="E2" s="110"/>
    </row>
    <row r="3" spans="1:3" ht="12.75">
      <c r="A3" s="13" t="s">
        <v>74</v>
      </c>
      <c r="B3" s="14" t="s">
        <v>75</v>
      </c>
      <c r="C3" s="301"/>
    </row>
    <row r="4" spans="1:5" ht="12.75">
      <c r="A4" s="15"/>
      <c r="B4" s="14" t="s">
        <v>76</v>
      </c>
      <c r="C4" s="301"/>
      <c r="E4" s="110"/>
    </row>
    <row r="5" spans="1:2" ht="12.75">
      <c r="A5" s="15"/>
      <c r="B5" s="15"/>
    </row>
    <row r="6" spans="1:2" ht="12.75">
      <c r="A6" s="15"/>
      <c r="B6" s="15"/>
    </row>
    <row r="7" spans="1:3" ht="12.75">
      <c r="A7" s="16" t="s">
        <v>126</v>
      </c>
      <c r="B7" s="16"/>
      <c r="C7" s="14" t="s">
        <v>78</v>
      </c>
    </row>
    <row r="8" spans="1:3" ht="12.75">
      <c r="A8" s="17" t="s">
        <v>127</v>
      </c>
      <c r="B8" s="17"/>
      <c r="C8" s="22" t="s">
        <v>80</v>
      </c>
    </row>
    <row r="9" spans="1:3" ht="12.75">
      <c r="A9" s="22" t="s">
        <v>128</v>
      </c>
      <c r="B9" s="22"/>
      <c r="C9" s="22"/>
    </row>
    <row r="10" spans="1:3" ht="12.75">
      <c r="A10" s="19" t="s">
        <v>129</v>
      </c>
      <c r="B10" s="19"/>
      <c r="C10" s="19" t="s">
        <v>86</v>
      </c>
    </row>
    <row r="11" spans="1:3" ht="12.75">
      <c r="A11" s="17" t="s">
        <v>87</v>
      </c>
      <c r="B11" s="17" t="s">
        <v>75</v>
      </c>
      <c r="C11" s="142">
        <v>8.434257619030404</v>
      </c>
    </row>
    <row r="12" spans="1:3" ht="12.75">
      <c r="A12" s="22"/>
      <c r="B12" s="22" t="s">
        <v>76</v>
      </c>
      <c r="C12" s="144">
        <v>1.3179980064763694</v>
      </c>
    </row>
    <row r="13" spans="1:3" ht="12.75">
      <c r="A13" s="19"/>
      <c r="B13" s="19"/>
      <c r="C13" s="143" t="s">
        <v>130</v>
      </c>
    </row>
    <row r="14" spans="1:3" ht="12.75">
      <c r="A14" s="17" t="s">
        <v>116</v>
      </c>
      <c r="B14" s="17" t="s">
        <v>75</v>
      </c>
      <c r="C14" s="144">
        <v>6.746992929705051</v>
      </c>
    </row>
    <row r="15" spans="1:3" ht="12.75">
      <c r="A15" s="22"/>
      <c r="B15" s="22" t="s">
        <v>76</v>
      </c>
      <c r="C15" s="144">
        <v>1.054088531041642</v>
      </c>
    </row>
    <row r="16" spans="1:3" ht="12.75">
      <c r="A16" s="19"/>
      <c r="B16" s="19"/>
      <c r="C16" s="143" t="s">
        <v>130</v>
      </c>
    </row>
    <row r="17" spans="1:3" ht="12.75">
      <c r="A17" s="17" t="s">
        <v>117</v>
      </c>
      <c r="B17" s="17" t="s">
        <v>75</v>
      </c>
      <c r="C17" s="144">
        <v>4.2173870379647465</v>
      </c>
    </row>
    <row r="18" spans="1:3" ht="12.75">
      <c r="A18" s="22"/>
      <c r="B18" s="22" t="s">
        <v>76</v>
      </c>
      <c r="C18" s="144">
        <v>0.6584825463390953</v>
      </c>
    </row>
    <row r="19" spans="1:3" ht="12.75">
      <c r="A19" s="19"/>
      <c r="B19" s="22"/>
      <c r="C19" s="143" t="s">
        <v>130</v>
      </c>
    </row>
    <row r="20" spans="1:3" ht="12.75">
      <c r="A20" s="24" t="s">
        <v>131</v>
      </c>
      <c r="B20" s="397" t="s">
        <v>132</v>
      </c>
      <c r="C20" s="398"/>
    </row>
    <row r="21" spans="1:3" ht="12.75">
      <c r="A21" s="56" t="s">
        <v>133</v>
      </c>
      <c r="B21" s="399" t="s">
        <v>134</v>
      </c>
      <c r="C21" s="400"/>
    </row>
    <row r="22" spans="1:3" ht="12.75">
      <c r="A22" s="32"/>
      <c r="B22" s="401" t="s">
        <v>201</v>
      </c>
      <c r="C22" s="402"/>
    </row>
    <row r="23" spans="1:2" ht="12.75">
      <c r="A23" s="37"/>
      <c r="B23" s="57"/>
    </row>
    <row r="24" spans="1:2" ht="12.75">
      <c r="A24" s="36" t="s">
        <v>135</v>
      </c>
      <c r="B24" s="37"/>
    </row>
    <row r="25" spans="1:2" ht="12.75">
      <c r="A25" s="36" t="s">
        <v>136</v>
      </c>
      <c r="B25" s="37"/>
    </row>
    <row r="26" spans="1:2" ht="12.75">
      <c r="A26" s="36" t="s">
        <v>137</v>
      </c>
      <c r="B26" s="37"/>
    </row>
    <row r="27" spans="1:2" ht="12.75">
      <c r="A27" s="36" t="s">
        <v>138</v>
      </c>
      <c r="B27" s="37"/>
    </row>
    <row r="28" ht="12.75">
      <c r="A28" s="35" t="s">
        <v>139</v>
      </c>
    </row>
    <row r="29" ht="12.75">
      <c r="A29" s="58" t="s">
        <v>140</v>
      </c>
    </row>
    <row r="30" ht="12.75">
      <c r="A30" s="35" t="s">
        <v>141</v>
      </c>
    </row>
    <row r="31" ht="12.75">
      <c r="A31" s="35" t="s">
        <v>142</v>
      </c>
    </row>
  </sheetData>
  <sheetProtection sheet="1" objects="1" scenarios="1"/>
  <mergeCells count="3">
    <mergeCell ref="B20:C20"/>
    <mergeCell ref="B21:C21"/>
    <mergeCell ref="B22:C2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PageLayoutView="0" workbookViewId="0" topLeftCell="A1">
      <selection activeCell="C4" activeCellId="1" sqref="C3 C4"/>
    </sheetView>
  </sheetViews>
  <sheetFormatPr defaultColWidth="9.140625" defaultRowHeight="12.75"/>
  <cols>
    <col min="1" max="1" width="30.7109375" style="13" customWidth="1"/>
    <col min="2" max="2" width="5.7109375" style="13" customWidth="1"/>
    <col min="3" max="8" width="10.7109375" style="13" customWidth="1"/>
    <col min="9" max="16384" width="9.140625" style="13" customWidth="1"/>
  </cols>
  <sheetData>
    <row r="1" spans="1:8" ht="12.75">
      <c r="A1" s="15" t="s">
        <v>73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9" ht="12.75">
      <c r="A3" s="13" t="s">
        <v>74</v>
      </c>
      <c r="B3" s="14" t="s">
        <v>75</v>
      </c>
      <c r="C3" s="301"/>
      <c r="D3" s="15"/>
      <c r="E3" s="15"/>
      <c r="F3" s="15"/>
      <c r="G3" s="15"/>
      <c r="H3" s="15"/>
      <c r="I3" s="110"/>
    </row>
    <row r="4" spans="1:8" ht="12.75">
      <c r="A4" s="15"/>
      <c r="B4" s="14" t="s">
        <v>76</v>
      </c>
      <c r="C4" s="301"/>
      <c r="D4" s="15"/>
      <c r="E4" s="15"/>
      <c r="F4" s="15"/>
      <c r="G4" s="15"/>
      <c r="H4" s="15"/>
    </row>
    <row r="5" spans="1:9" ht="12.75">
      <c r="A5" s="15"/>
      <c r="B5" s="15"/>
      <c r="C5" s="15"/>
      <c r="D5" s="15"/>
      <c r="E5" s="15"/>
      <c r="F5" s="15"/>
      <c r="G5" s="15"/>
      <c r="H5" s="15"/>
      <c r="I5" s="110"/>
    </row>
    <row r="6" spans="1:8" ht="12.75">
      <c r="A6" s="15"/>
      <c r="B6" s="15"/>
      <c r="C6" s="15"/>
      <c r="D6" s="15"/>
      <c r="E6" s="15"/>
      <c r="F6" s="15"/>
      <c r="G6" s="15"/>
      <c r="H6" s="15"/>
    </row>
    <row r="7" spans="1:8" ht="12.75">
      <c r="A7" s="16" t="s">
        <v>143</v>
      </c>
      <c r="B7" s="16"/>
      <c r="C7" s="14" t="s">
        <v>78</v>
      </c>
      <c r="D7" s="14" t="s">
        <v>78</v>
      </c>
      <c r="E7" s="14" t="s">
        <v>78</v>
      </c>
      <c r="F7" s="14" t="s">
        <v>78</v>
      </c>
      <c r="G7" s="14" t="s">
        <v>78</v>
      </c>
      <c r="H7" s="14" t="s">
        <v>78</v>
      </c>
    </row>
    <row r="8" spans="1:8" ht="12.75">
      <c r="A8" s="40" t="s">
        <v>144</v>
      </c>
      <c r="B8" s="17"/>
      <c r="C8" s="17" t="s">
        <v>80</v>
      </c>
      <c r="D8" s="17" t="s">
        <v>80</v>
      </c>
      <c r="E8" s="17" t="s">
        <v>80</v>
      </c>
      <c r="F8" s="17" t="s">
        <v>80</v>
      </c>
      <c r="G8" s="17" t="s">
        <v>80</v>
      </c>
      <c r="H8" s="17" t="s">
        <v>80</v>
      </c>
    </row>
    <row r="9" spans="1:8" ht="12.75">
      <c r="A9" s="42" t="s">
        <v>145</v>
      </c>
      <c r="B9" s="22"/>
      <c r="C9" s="22" t="s">
        <v>82</v>
      </c>
      <c r="D9" s="22" t="s">
        <v>83</v>
      </c>
      <c r="E9" s="22" t="s">
        <v>84</v>
      </c>
      <c r="F9" s="22" t="s">
        <v>85</v>
      </c>
      <c r="G9" s="22" t="s">
        <v>86</v>
      </c>
      <c r="H9" s="22" t="s">
        <v>105</v>
      </c>
    </row>
    <row r="10" spans="1:8" ht="12.75">
      <c r="A10" s="17" t="s">
        <v>87</v>
      </c>
      <c r="B10" s="24" t="s">
        <v>75</v>
      </c>
      <c r="C10" s="142">
        <v>14.057440336316732</v>
      </c>
      <c r="D10" s="142">
        <v>14.057440336316732</v>
      </c>
      <c r="E10" s="142">
        <v>14.057440336316732</v>
      </c>
      <c r="F10" s="142">
        <v>14.057440336316732</v>
      </c>
      <c r="G10" s="142"/>
      <c r="H10" s="142">
        <v>14.057440336316732</v>
      </c>
    </row>
    <row r="11" spans="1:8" ht="12.75">
      <c r="A11" s="46" t="s">
        <v>146</v>
      </c>
      <c r="B11" s="32" t="s">
        <v>76</v>
      </c>
      <c r="C11" s="143">
        <v>2.1964911918275862</v>
      </c>
      <c r="D11" s="143">
        <v>2.1964911918275862</v>
      </c>
      <c r="E11" s="143">
        <v>2.1964911918275862</v>
      </c>
      <c r="F11" s="143">
        <v>2.1964911918275862</v>
      </c>
      <c r="G11" s="143"/>
      <c r="H11" s="143">
        <v>2.1964911918275862</v>
      </c>
    </row>
    <row r="12" spans="1:8" ht="12.75">
      <c r="A12" s="17" t="s">
        <v>116</v>
      </c>
      <c r="B12" s="17" t="s">
        <v>75</v>
      </c>
      <c r="C12" s="142">
        <v>11.245332520774479</v>
      </c>
      <c r="D12" s="142">
        <v>11.245332520774479</v>
      </c>
      <c r="E12" s="142">
        <v>11.245332520774479</v>
      </c>
      <c r="F12" s="142">
        <v>11.245332520774479</v>
      </c>
      <c r="G12" s="142">
        <v>11.245332520774479</v>
      </c>
      <c r="H12" s="142">
        <v>11.245332520774479</v>
      </c>
    </row>
    <row r="13" spans="1:8" ht="12.75">
      <c r="A13" s="46" t="s">
        <v>146</v>
      </c>
      <c r="B13" s="19" t="s">
        <v>76</v>
      </c>
      <c r="C13" s="143">
        <v>1.7575028276015225</v>
      </c>
      <c r="D13" s="143">
        <v>1.7575028276015225</v>
      </c>
      <c r="E13" s="143">
        <v>1.7575028276015225</v>
      </c>
      <c r="F13" s="143">
        <v>1.7575028276015225</v>
      </c>
      <c r="G13" s="143">
        <v>1.7575028276015225</v>
      </c>
      <c r="H13" s="143">
        <v>1.7575028276015225</v>
      </c>
    </row>
    <row r="14" spans="1:8" ht="12.75">
      <c r="A14" s="17" t="s">
        <v>117</v>
      </c>
      <c r="B14" s="17" t="s">
        <v>75</v>
      </c>
      <c r="C14" s="142">
        <v>5.623182717286329</v>
      </c>
      <c r="D14" s="142">
        <v>5.623182717286329</v>
      </c>
      <c r="E14" s="142">
        <v>5.623182717286329</v>
      </c>
      <c r="F14" s="142">
        <v>5.623182717286329</v>
      </c>
      <c r="G14" s="142">
        <v>5.623182717286329</v>
      </c>
      <c r="H14" s="142">
        <v>5.623182717286329</v>
      </c>
    </row>
    <row r="15" spans="1:8" ht="12.75">
      <c r="A15" s="46" t="s">
        <v>146</v>
      </c>
      <c r="B15" s="19" t="s">
        <v>76</v>
      </c>
      <c r="C15" s="143">
        <v>0.8784931853512166</v>
      </c>
      <c r="D15" s="143">
        <v>0.8784931853512166</v>
      </c>
      <c r="E15" s="143">
        <v>0.8784931853512166</v>
      </c>
      <c r="F15" s="143">
        <v>0.8784931853512166</v>
      </c>
      <c r="G15" s="143">
        <v>0.8784931853512166</v>
      </c>
      <c r="H15" s="143">
        <v>0.8784931853512166</v>
      </c>
    </row>
    <row r="16" spans="1:8" ht="12.75">
      <c r="A16" s="42" t="s">
        <v>147</v>
      </c>
      <c r="B16" s="22"/>
      <c r="C16" s="142"/>
      <c r="D16" s="142"/>
      <c r="E16" s="142"/>
      <c r="F16" s="142"/>
      <c r="G16" s="142"/>
      <c r="H16" s="142"/>
    </row>
    <row r="17" spans="1:8" ht="12.75">
      <c r="A17" s="42" t="s">
        <v>148</v>
      </c>
      <c r="B17" s="22" t="s">
        <v>75</v>
      </c>
      <c r="C17" s="144">
        <v>0.2551297081502063</v>
      </c>
      <c r="D17" s="144">
        <v>0.2551297081502063</v>
      </c>
      <c r="E17" s="144">
        <v>0.2551297081502063</v>
      </c>
      <c r="F17" s="144">
        <v>0.2551297081502063</v>
      </c>
      <c r="G17" s="144">
        <v>0.2551297081502063</v>
      </c>
      <c r="H17" s="144">
        <v>0.2551297081502063</v>
      </c>
    </row>
    <row r="18" spans="1:8" ht="12.75">
      <c r="A18" s="46" t="s">
        <v>149</v>
      </c>
      <c r="B18" s="19" t="s">
        <v>76</v>
      </c>
      <c r="C18" s="143">
        <v>0.16629912150681464</v>
      </c>
      <c r="D18" s="143">
        <v>0.16629912150681464</v>
      </c>
      <c r="E18" s="143">
        <v>0.16629912150681464</v>
      </c>
      <c r="F18" s="143">
        <v>0.16629912150681464</v>
      </c>
      <c r="G18" s="143">
        <v>0.16629912150681464</v>
      </c>
      <c r="H18" s="143">
        <v>0.16629912150681464</v>
      </c>
    </row>
    <row r="19" spans="1:8" ht="12.75">
      <c r="A19" s="42" t="s">
        <v>150</v>
      </c>
      <c r="B19" s="22" t="s">
        <v>75</v>
      </c>
      <c r="C19" s="142">
        <v>25.478884659680727</v>
      </c>
      <c r="D19" s="142">
        <v>25.478884659680727</v>
      </c>
      <c r="E19" s="142">
        <v>25.478884659680727</v>
      </c>
      <c r="F19" s="142">
        <v>25.478884659680727</v>
      </c>
      <c r="G19" s="142"/>
      <c r="H19" s="142"/>
    </row>
    <row r="20" spans="1:8" ht="12.75">
      <c r="A20" s="46" t="s">
        <v>151</v>
      </c>
      <c r="B20" s="19" t="s">
        <v>76</v>
      </c>
      <c r="C20" s="143">
        <v>33.23968248229844</v>
      </c>
      <c r="D20" s="143">
        <v>33.23968248229844</v>
      </c>
      <c r="E20" s="143">
        <v>33.23968248229844</v>
      </c>
      <c r="F20" s="143">
        <v>33.23968248229844</v>
      </c>
      <c r="G20" s="143"/>
      <c r="H20" s="143"/>
    </row>
    <row r="21" spans="1:8" ht="12.75">
      <c r="A21" s="42" t="s">
        <v>116</v>
      </c>
      <c r="B21" s="22" t="s">
        <v>75</v>
      </c>
      <c r="C21" s="142">
        <v>22.93120277647229</v>
      </c>
      <c r="D21" s="142">
        <v>22.93120277647229</v>
      </c>
      <c r="E21" s="142">
        <v>22.93120277647229</v>
      </c>
      <c r="F21" s="142">
        <v>22.93120277647229</v>
      </c>
      <c r="G21" s="142">
        <v>22.93120277647229</v>
      </c>
      <c r="H21" s="142">
        <v>22.93120277647229</v>
      </c>
    </row>
    <row r="22" spans="1:8" ht="12.75">
      <c r="A22" s="46"/>
      <c r="B22" s="19" t="s">
        <v>76</v>
      </c>
      <c r="C22" s="143">
        <v>29.915765879758506</v>
      </c>
      <c r="D22" s="143">
        <v>29.915765879758506</v>
      </c>
      <c r="E22" s="143">
        <v>29.915765879758506</v>
      </c>
      <c r="F22" s="143">
        <v>29.915765879758506</v>
      </c>
      <c r="G22" s="143">
        <v>29.915765879758506</v>
      </c>
      <c r="H22" s="143">
        <v>29.915765879758506</v>
      </c>
    </row>
    <row r="23" spans="1:8" ht="12.75">
      <c r="A23" s="42" t="s">
        <v>117</v>
      </c>
      <c r="B23" s="22" t="s">
        <v>75</v>
      </c>
      <c r="C23" s="142">
        <v>7.6435621065244</v>
      </c>
      <c r="D23" s="142">
        <v>7.6435621065244</v>
      </c>
      <c r="E23" s="142">
        <v>7.6435621065244</v>
      </c>
      <c r="F23" s="142">
        <v>7.6435621065244</v>
      </c>
      <c r="G23" s="142">
        <v>7.6435621065244</v>
      </c>
      <c r="H23" s="142">
        <v>7.6435621065244</v>
      </c>
    </row>
    <row r="24" spans="1:8" ht="12.75">
      <c r="A24" s="49"/>
      <c r="B24" s="19" t="s">
        <v>76</v>
      </c>
      <c r="C24" s="143">
        <v>9.971749807619805</v>
      </c>
      <c r="D24" s="143">
        <v>9.971749807619805</v>
      </c>
      <c r="E24" s="143">
        <v>9.971749807619805</v>
      </c>
      <c r="F24" s="143">
        <v>9.971749807619805</v>
      </c>
      <c r="G24" s="143">
        <v>9.971749807619805</v>
      </c>
      <c r="H24" s="143">
        <v>9.971749807619805</v>
      </c>
    </row>
    <row r="25" spans="1:8" ht="12.75">
      <c r="A25" s="40" t="s">
        <v>120</v>
      </c>
      <c r="B25" s="22" t="s">
        <v>75</v>
      </c>
      <c r="C25" s="51"/>
      <c r="D25" s="51"/>
      <c r="E25" s="51"/>
      <c r="F25" s="51"/>
      <c r="G25" s="51"/>
      <c r="H25" s="59"/>
    </row>
    <row r="26" spans="1:8" ht="12.75">
      <c r="A26" s="46" t="s">
        <v>121</v>
      </c>
      <c r="B26" s="19" t="s">
        <v>76</v>
      </c>
      <c r="C26" s="54"/>
      <c r="D26" s="54"/>
      <c r="E26" s="54"/>
      <c r="F26" s="54"/>
      <c r="G26" s="54"/>
      <c r="H26" s="21"/>
    </row>
    <row r="28" ht="12.75">
      <c r="A28" s="35" t="s">
        <v>122</v>
      </c>
    </row>
    <row r="29" ht="12.75">
      <c r="A29" s="35" t="s">
        <v>123</v>
      </c>
    </row>
    <row r="30" ht="12.75">
      <c r="A30" s="35" t="s">
        <v>152</v>
      </c>
    </row>
    <row r="31" ht="12.75">
      <c r="A31" s="35"/>
    </row>
  </sheetData>
  <sheetProtection sheet="1" objects="1" scenarios="1"/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PageLayoutView="0" workbookViewId="0" topLeftCell="A1">
      <selection activeCell="I12" sqref="I12"/>
    </sheetView>
  </sheetViews>
  <sheetFormatPr defaultColWidth="11.7109375" defaultRowHeight="12.75"/>
  <cols>
    <col min="1" max="1" width="2.7109375" style="83" customWidth="1"/>
    <col min="2" max="5" width="12.7109375" style="83" customWidth="1"/>
    <col min="6" max="6" width="6.28125" style="83" customWidth="1"/>
    <col min="7" max="7" width="12.7109375" style="83" customWidth="1"/>
    <col min="8" max="8" width="11.7109375" style="83" customWidth="1"/>
    <col min="9" max="9" width="13.421875" style="83" customWidth="1"/>
    <col min="10" max="16384" width="11.7109375" style="83" customWidth="1"/>
  </cols>
  <sheetData>
    <row r="1" spans="1:9" s="3" customFormat="1" ht="12.75">
      <c r="A1" s="81"/>
      <c r="E1" s="79"/>
      <c r="F1" s="79"/>
      <c r="G1" s="79"/>
      <c r="H1" s="79"/>
      <c r="I1" s="79"/>
    </row>
    <row r="2" spans="2:9" s="76" customFormat="1" ht="13.5">
      <c r="B2" s="77"/>
      <c r="E2" s="78"/>
      <c r="F2" s="78"/>
      <c r="G2" s="78"/>
      <c r="H2" s="78"/>
      <c r="I2" s="78"/>
    </row>
    <row r="3" spans="1:9" s="82" customFormat="1" ht="19.5" customHeight="1">
      <c r="A3" s="403" t="s">
        <v>154</v>
      </c>
      <c r="B3" s="403"/>
      <c r="C3" s="403"/>
      <c r="D3" s="403"/>
      <c r="E3" s="403"/>
      <c r="F3" s="403"/>
      <c r="G3" s="403"/>
      <c r="H3" s="403"/>
      <c r="I3" s="403"/>
    </row>
    <row r="4" spans="1:9" ht="12.75">
      <c r="A4" s="404" t="s">
        <v>155</v>
      </c>
      <c r="B4" s="404"/>
      <c r="C4" s="404"/>
      <c r="D4" s="404"/>
      <c r="E4" s="404"/>
      <c r="F4" s="404"/>
      <c r="G4" s="404"/>
      <c r="H4" s="404"/>
      <c r="I4" s="404"/>
    </row>
    <row r="5" spans="2:9" ht="9.75" customHeight="1">
      <c r="B5" s="84"/>
      <c r="C5" s="84"/>
      <c r="D5" s="84"/>
      <c r="E5" s="84"/>
      <c r="F5" s="84"/>
      <c r="G5" s="84"/>
      <c r="H5" s="84"/>
      <c r="I5" s="84"/>
    </row>
    <row r="6" spans="2:9" ht="12.75">
      <c r="B6" s="3" t="s">
        <v>156</v>
      </c>
      <c r="C6" s="405" t="str">
        <f>DATI!D10</f>
        <v>DIREZIONALE ARTIGIANALE ALTRO B4</v>
      </c>
      <c r="D6" s="406"/>
      <c r="E6" s="406"/>
      <c r="F6" s="406"/>
      <c r="G6" s="406"/>
      <c r="H6" s="406"/>
      <c r="I6" s="407"/>
    </row>
    <row r="7" spans="2:9" ht="12.75">
      <c r="B7" s="3"/>
      <c r="C7" s="85" t="s">
        <v>157</v>
      </c>
      <c r="D7" s="85" t="s">
        <v>158</v>
      </c>
      <c r="E7" s="85" t="s">
        <v>157</v>
      </c>
      <c r="F7" s="3"/>
      <c r="G7" s="3"/>
      <c r="H7" s="3"/>
      <c r="I7" s="3"/>
    </row>
    <row r="8" spans="2:9" ht="12.75">
      <c r="B8" s="3" t="s">
        <v>159</v>
      </c>
      <c r="C8" s="86">
        <f>DATI!B2</f>
        <v>25.478884659680727</v>
      </c>
      <c r="D8" s="135">
        <f>DATI!C2</f>
        <v>0</v>
      </c>
      <c r="E8" s="86">
        <f>C8-C8*D8/100</f>
        <v>25.478884659680727</v>
      </c>
      <c r="F8" s="3"/>
      <c r="G8" s="3"/>
      <c r="H8" s="3"/>
      <c r="I8" s="3"/>
    </row>
    <row r="9" spans="2:9" ht="12.75">
      <c r="B9" s="3" t="s">
        <v>160</v>
      </c>
      <c r="C9" s="86">
        <f>DATI!B3</f>
        <v>33.23968248229844</v>
      </c>
      <c r="D9" s="135">
        <f>DATI!C3</f>
        <v>0</v>
      </c>
      <c r="E9" s="86">
        <f>C9-C9*D9/100</f>
        <v>33.23968248229844</v>
      </c>
      <c r="F9" s="3"/>
      <c r="G9" s="3"/>
      <c r="H9" s="3"/>
      <c r="I9" s="3"/>
    </row>
    <row r="10" spans="2:9" ht="12.75">
      <c r="B10" s="3" t="s">
        <v>161</v>
      </c>
      <c r="C10" s="87">
        <f>SUM(C8:C9)</f>
        <v>58.718567141979165</v>
      </c>
      <c r="D10" s="3"/>
      <c r="E10" s="86">
        <f>SUM(E8:E9)</f>
        <v>58.718567141979165</v>
      </c>
      <c r="F10" s="3" t="s">
        <v>162</v>
      </c>
      <c r="G10" s="136">
        <f>DATI!D2</f>
        <v>0</v>
      </c>
      <c r="H10" s="3"/>
      <c r="I10" s="3"/>
    </row>
    <row r="11" spans="2:9" ht="12.75">
      <c r="B11" s="3" t="s">
        <v>163</v>
      </c>
      <c r="C11" s="80" t="s">
        <v>164</v>
      </c>
      <c r="D11" s="88">
        <f>G10*E8</f>
        <v>0</v>
      </c>
      <c r="E11" s="408" t="s">
        <v>165</v>
      </c>
      <c r="F11" s="408"/>
      <c r="G11" s="408"/>
      <c r="H11" s="90" t="s">
        <v>153</v>
      </c>
      <c r="I11" s="91">
        <f>D11</f>
        <v>0</v>
      </c>
    </row>
    <row r="12" spans="2:9" ht="12.75">
      <c r="B12" s="3" t="s">
        <v>163</v>
      </c>
      <c r="C12" s="80" t="s">
        <v>166</v>
      </c>
      <c r="D12" s="88">
        <f>G10*E9</f>
        <v>0</v>
      </c>
      <c r="E12" s="408" t="s">
        <v>167</v>
      </c>
      <c r="F12" s="408"/>
      <c r="G12" s="408"/>
      <c r="H12" s="90" t="s">
        <v>153</v>
      </c>
      <c r="I12" s="91">
        <f>D12</f>
        <v>0</v>
      </c>
    </row>
    <row r="13" spans="2:9" ht="12.75">
      <c r="B13" s="3"/>
      <c r="C13" s="80"/>
      <c r="D13" s="88"/>
      <c r="E13" s="408" t="s">
        <v>500</v>
      </c>
      <c r="F13" s="408"/>
      <c r="G13" s="408"/>
      <c r="H13" s="409">
        <f>SUM(I11:I12)</f>
        <v>0</v>
      </c>
      <c r="I13" s="410"/>
    </row>
    <row r="14" spans="2:9" ht="12.75">
      <c r="B14" s="3"/>
      <c r="C14" s="80"/>
      <c r="D14" s="88"/>
      <c r="E14" s="89"/>
      <c r="F14" s="89"/>
      <c r="G14" s="89"/>
      <c r="H14" s="92"/>
      <c r="I14" s="93"/>
    </row>
    <row r="15" spans="1:9" s="94" customFormat="1" ht="23.25">
      <c r="A15" s="403" t="s">
        <v>184</v>
      </c>
      <c r="B15" s="403"/>
      <c r="C15" s="403"/>
      <c r="D15" s="403"/>
      <c r="E15" s="403"/>
      <c r="F15" s="403"/>
      <c r="G15" s="403"/>
      <c r="H15" s="403"/>
      <c r="I15" s="403"/>
    </row>
    <row r="16" s="94" customFormat="1" ht="15" customHeight="1"/>
    <row r="17" spans="1:2" s="4" customFormat="1" ht="15.75">
      <c r="A17" s="95" t="s">
        <v>168</v>
      </c>
      <c r="B17" s="1"/>
    </row>
    <row r="18" spans="1:2" s="4" customFormat="1" ht="9.75" customHeight="1">
      <c r="A18" s="95"/>
      <c r="B18" s="1"/>
    </row>
    <row r="19" spans="1:8" s="4" customFormat="1" ht="12.75">
      <c r="A19" s="81" t="s">
        <v>169</v>
      </c>
      <c r="B19" s="3" t="s">
        <v>170</v>
      </c>
      <c r="C19" s="3"/>
      <c r="D19" s="3"/>
      <c r="E19" s="3"/>
      <c r="F19" s="3"/>
      <c r="G19" s="3"/>
      <c r="H19" s="96">
        <f>I12+I11</f>
        <v>0</v>
      </c>
    </row>
    <row r="20" s="4" customFormat="1" ht="12"/>
    <row r="21" spans="1:5" s="4" customFormat="1" ht="12.75">
      <c r="A21" s="81" t="s">
        <v>169</v>
      </c>
      <c r="B21" s="3" t="s">
        <v>171</v>
      </c>
      <c r="C21" s="3"/>
      <c r="D21" s="3"/>
      <c r="E21" s="3"/>
    </row>
    <row r="22" spans="2:9" s="4" customFormat="1" ht="12.75">
      <c r="B22" s="3" t="s">
        <v>172</v>
      </c>
      <c r="C22" s="97">
        <f>(I12+I11)/4</f>
        <v>0</v>
      </c>
      <c r="D22" s="3" t="s">
        <v>173</v>
      </c>
      <c r="E22" s="3"/>
      <c r="F22" s="3"/>
      <c r="G22" s="3"/>
      <c r="H22" s="3"/>
      <c r="I22" s="3"/>
    </row>
    <row r="23" spans="2:9" s="4" customFormat="1" ht="12.75">
      <c r="B23" s="3" t="s">
        <v>174</v>
      </c>
      <c r="C23" s="97">
        <f>(I12+I11)/4</f>
        <v>0</v>
      </c>
      <c r="D23" s="3" t="s">
        <v>175</v>
      </c>
      <c r="E23" s="3"/>
      <c r="F23" s="3"/>
      <c r="G23" s="3"/>
      <c r="H23" s="3"/>
      <c r="I23" s="3"/>
    </row>
    <row r="24" spans="2:9" s="4" customFormat="1" ht="12.75">
      <c r="B24" s="3" t="s">
        <v>176</v>
      </c>
      <c r="C24" s="97">
        <f>(I12+I11)/4</f>
        <v>0</v>
      </c>
      <c r="D24" s="3" t="s">
        <v>177</v>
      </c>
      <c r="E24" s="3"/>
      <c r="F24" s="3"/>
      <c r="G24" s="3"/>
      <c r="H24" s="3"/>
      <c r="I24" s="3"/>
    </row>
    <row r="25" spans="2:9" s="4" customFormat="1" ht="12.75">
      <c r="B25" s="3" t="s">
        <v>178</v>
      </c>
      <c r="C25" s="97">
        <f>(I12+I11)/4</f>
        <v>0</v>
      </c>
      <c r="D25" s="3" t="s">
        <v>179</v>
      </c>
      <c r="E25" s="3"/>
      <c r="F25" s="3"/>
      <c r="G25" s="3"/>
      <c r="H25" s="3"/>
      <c r="I25" s="3"/>
    </row>
    <row r="26" spans="2:8" s="4" customFormat="1" ht="12.75">
      <c r="B26" s="3" t="s">
        <v>180</v>
      </c>
      <c r="C26" s="3"/>
      <c r="D26" s="3"/>
      <c r="E26" s="3"/>
      <c r="F26" s="3"/>
      <c r="G26" s="3"/>
      <c r="H26" s="3"/>
    </row>
    <row r="27" spans="2:8" s="4" customFormat="1" ht="12.75">
      <c r="B27" s="3" t="s">
        <v>181</v>
      </c>
      <c r="C27" s="98">
        <f>(C25+C24+C23)+(C25+C24+C23)*40/100</f>
        <v>0</v>
      </c>
      <c r="D27" s="3" t="s">
        <v>182</v>
      </c>
      <c r="G27" s="3"/>
      <c r="H27" s="3"/>
    </row>
    <row r="28" spans="2:8" s="4" customFormat="1" ht="12.75">
      <c r="B28" s="3" t="s">
        <v>183</v>
      </c>
      <c r="C28" s="3"/>
      <c r="D28" s="3"/>
      <c r="E28" s="3"/>
      <c r="F28" s="3"/>
      <c r="G28" s="3"/>
      <c r="H28" s="3"/>
    </row>
  </sheetData>
  <sheetProtection sheet="1" objects="1" scenarios="1"/>
  <mergeCells count="8">
    <mergeCell ref="A3:I3"/>
    <mergeCell ref="A4:I4"/>
    <mergeCell ref="A15:I15"/>
    <mergeCell ref="C6:I6"/>
    <mergeCell ref="E11:G11"/>
    <mergeCell ref="E12:G12"/>
    <mergeCell ref="E13:G13"/>
    <mergeCell ref="H13:I13"/>
  </mergeCells>
  <printOptions horizontalCentered="1"/>
  <pageMargins left="0.5" right="0.3937007874015748" top="0.55" bottom="1.11" header="0.17" footer="0.16"/>
  <pageSetup fitToHeight="3" fitToWidth="1" horizontalDpi="600" verticalDpi="600" orientation="portrait" paperSize="9" scale="98" r:id="rId1"/>
  <rowBreaks count="1" manualBreakCount="1">
    <brk id="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tabSelected="1" workbookViewId="0" topLeftCell="A1">
      <selection activeCell="E4" sqref="E4"/>
    </sheetView>
  </sheetViews>
  <sheetFormatPr defaultColWidth="11.7109375" defaultRowHeight="12.75"/>
  <cols>
    <col min="1" max="1" width="3.140625" style="83" customWidth="1"/>
    <col min="2" max="5" width="12.7109375" style="83" customWidth="1"/>
    <col min="6" max="6" width="6.28125" style="83" customWidth="1"/>
    <col min="7" max="7" width="12.7109375" style="83" customWidth="1"/>
    <col min="8" max="8" width="11.7109375" style="83" customWidth="1"/>
    <col min="9" max="9" width="13.421875" style="83" customWidth="1"/>
    <col min="10" max="16384" width="11.7109375" style="83" customWidth="1"/>
  </cols>
  <sheetData>
    <row r="1" spans="2:9" s="1" customFormat="1" ht="15.75">
      <c r="B1" s="403" t="s">
        <v>154</v>
      </c>
      <c r="C1" s="414"/>
      <c r="D1" s="414"/>
      <c r="E1" s="414"/>
      <c r="F1" s="414"/>
      <c r="G1" s="414"/>
      <c r="H1" s="414"/>
      <c r="I1" s="414"/>
    </row>
    <row r="2" spans="2:9" ht="12.75">
      <c r="B2" s="415" t="s">
        <v>202</v>
      </c>
      <c r="C2" s="415"/>
      <c r="D2" s="415"/>
      <c r="E2" s="415"/>
      <c r="F2" s="415"/>
      <c r="G2" s="415"/>
      <c r="H2" s="415"/>
      <c r="I2" s="415"/>
    </row>
    <row r="3" spans="2:9" ht="15.75">
      <c r="B3" s="145"/>
      <c r="C3" s="145"/>
      <c r="D3" s="145"/>
      <c r="E3" s="145"/>
      <c r="F3" s="145"/>
      <c r="G3" s="145"/>
      <c r="H3" s="145"/>
      <c r="I3" s="145"/>
    </row>
    <row r="4" spans="1:9" ht="12.75">
      <c r="A4" s="3"/>
      <c r="B4" s="3" t="s">
        <v>203</v>
      </c>
      <c r="C4" s="3"/>
      <c r="D4" s="3"/>
      <c r="E4" s="322"/>
      <c r="F4" s="448" t="s">
        <v>693</v>
      </c>
      <c r="G4" s="3"/>
      <c r="H4" s="3"/>
      <c r="I4" s="3"/>
    </row>
    <row r="5" spans="1:9" ht="12.75">
      <c r="A5" s="141" t="s">
        <v>204</v>
      </c>
      <c r="B5" s="141" t="s">
        <v>205</v>
      </c>
      <c r="C5" s="141"/>
      <c r="D5" s="141"/>
      <c r="E5" s="141"/>
      <c r="F5" s="141"/>
      <c r="G5" s="141"/>
      <c r="H5" s="141"/>
      <c r="I5" s="141"/>
    </row>
    <row r="6" spans="1:9" ht="12.75">
      <c r="A6" s="3"/>
      <c r="B6" s="3" t="s">
        <v>206</v>
      </c>
      <c r="C6" s="303"/>
      <c r="D6" s="3" t="s">
        <v>207</v>
      </c>
      <c r="E6" s="136">
        <f>E4+E4*C6</f>
        <v>0</v>
      </c>
      <c r="F6" s="3"/>
      <c r="G6" s="3"/>
      <c r="H6" s="3"/>
      <c r="I6" s="3"/>
    </row>
    <row r="7" spans="1:9" ht="12.75">
      <c r="A7" s="3"/>
      <c r="B7" s="3" t="s">
        <v>208</v>
      </c>
      <c r="C7" s="136">
        <f>SUM(Abaco!E57)</f>
        <v>0</v>
      </c>
      <c r="D7" s="3" t="s">
        <v>209</v>
      </c>
      <c r="E7" s="146">
        <f>C7*E6</f>
        <v>0</v>
      </c>
      <c r="F7" s="3" t="s">
        <v>210</v>
      </c>
      <c r="G7" s="302"/>
      <c r="H7" s="147" t="s">
        <v>211</v>
      </c>
      <c r="I7" s="148">
        <f>E7*G7</f>
        <v>0</v>
      </c>
    </row>
    <row r="8" spans="1:9" ht="12.75">
      <c r="A8" s="141" t="s">
        <v>204</v>
      </c>
      <c r="B8" s="141" t="s">
        <v>212</v>
      </c>
      <c r="C8" s="141"/>
      <c r="D8" s="141"/>
      <c r="E8" s="141"/>
      <c r="F8" s="141"/>
      <c r="G8" s="141"/>
      <c r="H8" s="141"/>
      <c r="I8" s="149"/>
    </row>
    <row r="9" spans="1:9" ht="12.75">
      <c r="A9" s="3"/>
      <c r="B9" s="3" t="s">
        <v>219</v>
      </c>
      <c r="C9" s="306">
        <v>100</v>
      </c>
      <c r="D9" s="85" t="s">
        <v>589</v>
      </c>
      <c r="E9" s="146">
        <f>C9*100/100</f>
        <v>100</v>
      </c>
      <c r="F9" s="3" t="s">
        <v>210</v>
      </c>
      <c r="G9" s="302">
        <v>0.05</v>
      </c>
      <c r="H9" s="147" t="s">
        <v>211</v>
      </c>
      <c r="I9" s="146"/>
    </row>
    <row r="10" spans="1:9" ht="12.75">
      <c r="A10" s="3"/>
      <c r="B10" s="3"/>
      <c r="C10" s="136"/>
      <c r="D10" s="3"/>
      <c r="E10" s="146"/>
      <c r="F10" s="3"/>
      <c r="G10" s="302"/>
      <c r="H10" s="147"/>
      <c r="I10" s="148">
        <f>E9*G9</f>
        <v>5</v>
      </c>
    </row>
    <row r="11" spans="1:9" ht="12.75">
      <c r="A11" s="141" t="s">
        <v>204</v>
      </c>
      <c r="B11" s="141" t="s">
        <v>213</v>
      </c>
      <c r="C11" s="141"/>
      <c r="D11" s="141"/>
      <c r="E11" s="141"/>
      <c r="F11" s="141"/>
      <c r="G11" s="141"/>
      <c r="H11" s="141"/>
      <c r="I11" s="141"/>
    </row>
    <row r="12" spans="1:9" ht="12.75">
      <c r="A12" s="3"/>
      <c r="B12" s="3" t="s">
        <v>214</v>
      </c>
      <c r="C12" s="411"/>
      <c r="D12" s="412"/>
      <c r="E12" s="412"/>
      <c r="F12" s="412"/>
      <c r="G12" s="413"/>
      <c r="H12" s="304"/>
      <c r="I12" s="3"/>
    </row>
    <row r="13" spans="1:9" ht="12.75">
      <c r="A13" s="3"/>
      <c r="B13" s="3" t="s">
        <v>215</v>
      </c>
      <c r="C13" s="305"/>
      <c r="D13" s="3" t="s">
        <v>207</v>
      </c>
      <c r="E13" s="146">
        <f>E4*C13</f>
        <v>0</v>
      </c>
      <c r="F13" s="3"/>
      <c r="G13" s="3"/>
      <c r="H13" s="3"/>
      <c r="I13" s="3"/>
    </row>
    <row r="14" spans="1:9" ht="12.75">
      <c r="A14" s="3"/>
      <c r="B14" s="3" t="s">
        <v>208</v>
      </c>
      <c r="C14" s="136">
        <f>SUM(Abaco!E57)</f>
        <v>0</v>
      </c>
      <c r="D14" s="3" t="s">
        <v>216</v>
      </c>
      <c r="E14" s="146">
        <f>C14*E13</f>
        <v>0</v>
      </c>
      <c r="F14" s="3" t="s">
        <v>217</v>
      </c>
      <c r="G14" s="302"/>
      <c r="H14" s="147" t="s">
        <v>211</v>
      </c>
      <c r="I14" s="148">
        <f>E14*G14</f>
        <v>0</v>
      </c>
    </row>
    <row r="15" spans="1:9" ht="12.75">
      <c r="A15" s="141" t="s">
        <v>204</v>
      </c>
      <c r="B15" s="141" t="s">
        <v>677</v>
      </c>
      <c r="C15" s="141"/>
      <c r="D15" s="141"/>
      <c r="E15" s="141"/>
      <c r="F15" s="141"/>
      <c r="G15" s="141"/>
      <c r="H15" s="141"/>
      <c r="I15" s="141"/>
    </row>
    <row r="16" spans="1:9" ht="12.75">
      <c r="A16" s="3"/>
      <c r="B16" s="3" t="s">
        <v>218</v>
      </c>
      <c r="C16" s="411"/>
      <c r="D16" s="412"/>
      <c r="E16" s="412"/>
      <c r="F16" s="412"/>
      <c r="G16" s="413"/>
      <c r="H16" s="304"/>
      <c r="I16" s="3"/>
    </row>
    <row r="17" spans="1:9" ht="12.75">
      <c r="A17" s="3"/>
      <c r="B17" s="3" t="s">
        <v>219</v>
      </c>
      <c r="C17" s="306"/>
      <c r="D17" s="85" t="s">
        <v>678</v>
      </c>
      <c r="E17" s="146">
        <f>C17*50/100</f>
        <v>0</v>
      </c>
      <c r="F17" s="3" t="s">
        <v>217</v>
      </c>
      <c r="G17" s="302"/>
      <c r="H17" s="147" t="s">
        <v>211</v>
      </c>
      <c r="I17" s="148">
        <f>E17*G17</f>
        <v>0</v>
      </c>
    </row>
    <row r="18" spans="1:9" ht="12.75">
      <c r="A18" s="3"/>
      <c r="B18" s="150" t="s">
        <v>220</v>
      </c>
      <c r="C18" s="3"/>
      <c r="D18" s="3"/>
      <c r="E18" s="3"/>
      <c r="F18" s="3"/>
      <c r="G18" s="3"/>
      <c r="H18" s="3"/>
      <c r="I18" s="3"/>
    </row>
    <row r="19" spans="1:9" ht="12.75">
      <c r="A19" s="150"/>
      <c r="B19" s="150"/>
      <c r="C19" s="151" t="s">
        <v>221</v>
      </c>
      <c r="D19" s="151"/>
      <c r="E19" s="151"/>
      <c r="F19" s="151"/>
      <c r="G19" s="151"/>
      <c r="H19" s="90" t="s">
        <v>153</v>
      </c>
      <c r="I19" s="152">
        <f>I17+I14+I10+I7</f>
        <v>5</v>
      </c>
    </row>
    <row r="20" spans="1:9" ht="12.75">
      <c r="A20" s="150"/>
      <c r="B20" s="150"/>
      <c r="C20" s="150"/>
      <c r="D20" s="150"/>
      <c r="E20" s="150"/>
      <c r="F20" s="150"/>
      <c r="G20" s="150"/>
      <c r="H20" s="153"/>
      <c r="I20" s="154"/>
    </row>
    <row r="21" spans="1:9" ht="21" customHeight="1">
      <c r="A21" s="159"/>
      <c r="B21" s="416" t="s">
        <v>235</v>
      </c>
      <c r="C21" s="416"/>
      <c r="D21" s="416"/>
      <c r="E21" s="416"/>
      <c r="F21" s="416"/>
      <c r="G21" s="417"/>
      <c r="H21" s="4"/>
      <c r="I21" s="4"/>
    </row>
    <row r="22" spans="1:9" ht="12">
      <c r="A22" s="160" t="s">
        <v>237</v>
      </c>
      <c r="B22" s="418" t="s">
        <v>685</v>
      </c>
      <c r="C22" s="418"/>
      <c r="D22" s="418"/>
      <c r="E22" s="161"/>
      <c r="F22" s="161" t="s">
        <v>236</v>
      </c>
      <c r="G22" s="162">
        <v>1.1</v>
      </c>
      <c r="H22" s="4"/>
      <c r="I22" s="4"/>
    </row>
    <row r="23" spans="1:9" ht="12">
      <c r="A23" s="160" t="s">
        <v>238</v>
      </c>
      <c r="B23" s="161" t="s">
        <v>688</v>
      </c>
      <c r="C23" s="161"/>
      <c r="D23" s="161"/>
      <c r="E23" s="161"/>
      <c r="F23" s="161" t="s">
        <v>236</v>
      </c>
      <c r="G23" s="162">
        <v>0.9</v>
      </c>
      <c r="H23" s="4"/>
      <c r="I23" s="4"/>
    </row>
    <row r="24" spans="1:9" ht="12">
      <c r="A24" s="421" t="s">
        <v>239</v>
      </c>
      <c r="B24" s="161" t="s">
        <v>692</v>
      </c>
      <c r="C24" s="161"/>
      <c r="D24" s="161"/>
      <c r="E24" s="161"/>
      <c r="F24" s="419" t="s">
        <v>236</v>
      </c>
      <c r="G24" s="426">
        <v>0.8</v>
      </c>
      <c r="H24" s="4"/>
      <c r="I24" s="4"/>
    </row>
    <row r="25" spans="1:9" ht="12">
      <c r="A25" s="421"/>
      <c r="B25" s="161" t="s">
        <v>691</v>
      </c>
      <c r="C25" s="161"/>
      <c r="D25" s="161"/>
      <c r="E25" s="161"/>
      <c r="F25" s="419"/>
      <c r="G25" s="427"/>
      <c r="H25" s="4"/>
      <c r="I25" s="4"/>
    </row>
    <row r="26" spans="1:9" ht="12">
      <c r="A26" s="421"/>
      <c r="B26" s="161"/>
      <c r="C26" s="161"/>
      <c r="D26" s="161"/>
      <c r="E26" s="161"/>
      <c r="F26" s="420"/>
      <c r="G26" s="428"/>
      <c r="H26" s="4"/>
      <c r="I26" s="4"/>
    </row>
    <row r="27" spans="1:9" ht="12.75">
      <c r="A27" s="166"/>
      <c r="B27" s="161"/>
      <c r="C27" s="161"/>
      <c r="D27" s="161"/>
      <c r="E27" s="161"/>
      <c r="F27" s="164"/>
      <c r="G27" s="165"/>
      <c r="H27" s="4"/>
      <c r="I27" s="4"/>
    </row>
    <row r="28" spans="1:9" ht="12.75">
      <c r="A28" s="160"/>
      <c r="B28" s="429" t="s">
        <v>240</v>
      </c>
      <c r="C28" s="429"/>
      <c r="D28" s="429"/>
      <c r="E28" s="429"/>
      <c r="F28" s="429"/>
      <c r="G28" s="430"/>
      <c r="H28" s="4"/>
      <c r="I28" s="4"/>
    </row>
    <row r="29" spans="1:9" ht="12">
      <c r="A29" s="160" t="s">
        <v>237</v>
      </c>
      <c r="B29" s="418" t="s">
        <v>686</v>
      </c>
      <c r="C29" s="418"/>
      <c r="D29" s="418"/>
      <c r="E29" s="161"/>
      <c r="F29" s="161" t="s">
        <v>217</v>
      </c>
      <c r="G29" s="167">
        <v>0.05</v>
      </c>
      <c r="H29" s="4"/>
      <c r="I29" s="4"/>
    </row>
    <row r="30" spans="1:9" ht="12">
      <c r="A30" s="160" t="s">
        <v>241</v>
      </c>
      <c r="B30" s="161" t="s">
        <v>687</v>
      </c>
      <c r="C30" s="161"/>
      <c r="D30" s="161"/>
      <c r="E30" s="161"/>
      <c r="F30" s="161" t="s">
        <v>217</v>
      </c>
      <c r="G30" s="167">
        <v>0.05</v>
      </c>
      <c r="H30" s="4"/>
      <c r="I30" s="4"/>
    </row>
    <row r="31" spans="1:9" ht="12">
      <c r="A31" s="160" t="s">
        <v>238</v>
      </c>
      <c r="B31" s="161" t="s">
        <v>688</v>
      </c>
      <c r="C31" s="161"/>
      <c r="D31" s="161"/>
      <c r="E31" s="161"/>
      <c r="F31" s="161" t="s">
        <v>217</v>
      </c>
      <c r="G31" s="167">
        <v>0.05</v>
      </c>
      <c r="H31" s="4"/>
      <c r="I31" s="4"/>
    </row>
    <row r="32" spans="1:9" ht="12">
      <c r="A32" s="160" t="s">
        <v>239</v>
      </c>
      <c r="B32" s="161" t="s">
        <v>683</v>
      </c>
      <c r="C32" s="161"/>
      <c r="D32" s="161"/>
      <c r="E32" s="161"/>
      <c r="F32" s="161" t="s">
        <v>217</v>
      </c>
      <c r="G32" s="167">
        <v>0.05</v>
      </c>
      <c r="H32" s="4"/>
      <c r="I32" s="4"/>
    </row>
    <row r="33" spans="1:9" ht="12.75">
      <c r="A33" s="160" t="s">
        <v>684</v>
      </c>
      <c r="B33" s="161" t="s">
        <v>689</v>
      </c>
      <c r="C33" s="168"/>
      <c r="D33" s="168"/>
      <c r="E33" s="168"/>
      <c r="F33" s="161" t="s">
        <v>217</v>
      </c>
      <c r="G33" s="167">
        <v>0.05</v>
      </c>
      <c r="H33" s="4"/>
      <c r="I33" s="4"/>
    </row>
    <row r="34" spans="1:9" ht="12">
      <c r="A34" s="160" t="s">
        <v>242</v>
      </c>
      <c r="B34" s="161" t="s">
        <v>682</v>
      </c>
      <c r="C34" s="161"/>
      <c r="D34" s="161"/>
      <c r="E34" s="161"/>
      <c r="F34" s="161" t="s">
        <v>217</v>
      </c>
      <c r="G34" s="167">
        <v>0.05</v>
      </c>
      <c r="H34" s="4"/>
      <c r="I34" s="4"/>
    </row>
    <row r="35" spans="1:9" ht="12">
      <c r="A35" s="163" t="s">
        <v>243</v>
      </c>
      <c r="B35" s="161" t="s">
        <v>690</v>
      </c>
      <c r="C35" s="161"/>
      <c r="D35" s="161"/>
      <c r="E35" s="161"/>
      <c r="F35" s="419" t="s">
        <v>217</v>
      </c>
      <c r="G35" s="424">
        <v>0.05</v>
      </c>
      <c r="H35" s="4"/>
      <c r="I35" s="4"/>
    </row>
    <row r="36" spans="1:9" ht="12">
      <c r="A36" s="169"/>
      <c r="B36" s="422"/>
      <c r="C36" s="422"/>
      <c r="D36" s="422"/>
      <c r="E36" s="422"/>
      <c r="F36" s="423"/>
      <c r="G36" s="425"/>
      <c r="H36" s="4"/>
      <c r="I36" s="4"/>
    </row>
    <row r="37" spans="1:9" ht="12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03" t="s">
        <v>184</v>
      </c>
      <c r="B38" s="403"/>
      <c r="C38" s="403"/>
      <c r="D38" s="403"/>
      <c r="E38" s="403"/>
      <c r="F38" s="403"/>
      <c r="G38" s="403"/>
      <c r="H38" s="403"/>
      <c r="I38" s="403"/>
    </row>
    <row r="40" spans="1:9" ht="15.75">
      <c r="A40" s="95" t="s">
        <v>202</v>
      </c>
      <c r="B40" s="4"/>
      <c r="C40" s="4"/>
      <c r="D40" s="4"/>
      <c r="E40" s="4"/>
      <c r="F40" s="4"/>
      <c r="G40" s="4"/>
      <c r="H40" s="4"/>
      <c r="I40" s="4"/>
    </row>
    <row r="41" spans="1:9" ht="15.75">
      <c r="A41" s="95"/>
      <c r="B41" s="4"/>
      <c r="C41" s="4"/>
      <c r="D41" s="4"/>
      <c r="E41" s="4"/>
      <c r="F41" s="4"/>
      <c r="G41" s="4"/>
      <c r="H41" s="4"/>
      <c r="I41" s="4"/>
    </row>
    <row r="42" spans="1:9" ht="12.75">
      <c r="A42" s="81" t="s">
        <v>169</v>
      </c>
      <c r="B42" s="3" t="s">
        <v>222</v>
      </c>
      <c r="C42" s="3"/>
      <c r="D42" s="3"/>
      <c r="E42" s="3"/>
      <c r="F42" s="3"/>
      <c r="G42" s="3"/>
      <c r="H42" s="158">
        <f>SUM(I19)</f>
        <v>5</v>
      </c>
      <c r="I42" s="4"/>
    </row>
    <row r="43" spans="1:9" ht="12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81" t="s">
        <v>169</v>
      </c>
      <c r="B44" s="3" t="s">
        <v>223</v>
      </c>
      <c r="C44" s="3"/>
      <c r="D44" s="3"/>
      <c r="E44" s="3"/>
      <c r="F44" s="3"/>
      <c r="G44" s="4"/>
      <c r="H44" s="4"/>
      <c r="I44" s="4"/>
    </row>
    <row r="45" spans="1:9" ht="12.75">
      <c r="A45" s="4"/>
      <c r="B45" s="3" t="s">
        <v>172</v>
      </c>
      <c r="C45" s="97">
        <f>SUM(H42/2)</f>
        <v>2.5</v>
      </c>
      <c r="D45" s="3" t="s">
        <v>224</v>
      </c>
      <c r="E45" s="3"/>
      <c r="F45" s="3"/>
      <c r="G45" s="4"/>
      <c r="H45" s="4"/>
      <c r="I45" s="4"/>
    </row>
    <row r="46" spans="1:9" ht="12.75">
      <c r="A46" s="4"/>
      <c r="B46" s="3" t="s">
        <v>174</v>
      </c>
      <c r="C46" s="97">
        <f>SUM(H42/2)</f>
        <v>2.5</v>
      </c>
      <c r="D46" s="3" t="s">
        <v>225</v>
      </c>
      <c r="E46" s="3"/>
      <c r="F46" s="3" t="s">
        <v>226</v>
      </c>
      <c r="G46" s="4"/>
      <c r="H46" s="4"/>
      <c r="I46" s="4"/>
    </row>
    <row r="47" spans="1:9" ht="12.75">
      <c r="A47" s="4"/>
      <c r="B47" s="3"/>
      <c r="C47" s="97"/>
      <c r="D47" s="3"/>
      <c r="E47" s="3"/>
      <c r="F47" s="3" t="s">
        <v>227</v>
      </c>
      <c r="G47" s="4"/>
      <c r="H47" s="4"/>
      <c r="I47" s="4"/>
    </row>
    <row r="48" spans="1:9" ht="12.75">
      <c r="A48" s="4"/>
      <c r="B48" s="3"/>
      <c r="C48" s="97"/>
      <c r="D48" s="3"/>
      <c r="E48" s="3"/>
      <c r="F48" s="3" t="s">
        <v>228</v>
      </c>
      <c r="G48" s="4"/>
      <c r="H48" s="4"/>
      <c r="I48" s="4"/>
    </row>
    <row r="49" spans="1:9" ht="12.75">
      <c r="A49" s="4"/>
      <c r="B49" s="3" t="s">
        <v>229</v>
      </c>
      <c r="C49" s="3"/>
      <c r="D49" s="3"/>
      <c r="E49" s="3"/>
      <c r="F49" s="3"/>
      <c r="G49" s="3"/>
      <c r="H49" s="3"/>
      <c r="I49" s="4"/>
    </row>
    <row r="50" spans="1:9" ht="12.75">
      <c r="A50" s="4"/>
      <c r="B50" s="3" t="s">
        <v>230</v>
      </c>
      <c r="C50" s="3"/>
      <c r="D50" s="3"/>
      <c r="E50" s="98"/>
      <c r="F50" s="3"/>
      <c r="G50" s="3"/>
      <c r="H50" s="3"/>
      <c r="I50" s="155"/>
    </row>
    <row r="51" spans="1:9" ht="12.75">
      <c r="A51" s="4"/>
      <c r="B51" s="156" t="s">
        <v>231</v>
      </c>
      <c r="C51" s="157">
        <f>(C46+C45)+(C46+C45)*40/100</f>
        <v>7</v>
      </c>
      <c r="D51" s="3" t="s">
        <v>232</v>
      </c>
      <c r="E51" s="3"/>
      <c r="F51" s="98"/>
      <c r="G51" s="3"/>
      <c r="H51" s="3"/>
      <c r="I51" s="4"/>
    </row>
    <row r="52" spans="1:9" ht="12.75">
      <c r="A52" s="4"/>
      <c r="B52" s="3"/>
      <c r="C52" s="3" t="s">
        <v>183</v>
      </c>
      <c r="D52" s="3"/>
      <c r="E52" s="3"/>
      <c r="F52" s="3"/>
      <c r="G52" s="98"/>
      <c r="H52" s="3"/>
      <c r="I52" s="4"/>
    </row>
    <row r="53" spans="1:9" ht="12.75">
      <c r="A53" s="4"/>
      <c r="B53" s="156" t="s">
        <v>231</v>
      </c>
      <c r="C53" s="157">
        <f>C46+C46*40/100</f>
        <v>3.5</v>
      </c>
      <c r="D53" s="3" t="s">
        <v>233</v>
      </c>
      <c r="E53" s="3"/>
      <c r="F53" s="3"/>
      <c r="G53" s="3"/>
      <c r="H53" s="3"/>
      <c r="I53" s="4"/>
    </row>
    <row r="54" spans="1:9" ht="12.75">
      <c r="A54" s="4"/>
      <c r="B54" s="3"/>
      <c r="C54" s="3" t="s">
        <v>234</v>
      </c>
      <c r="D54" s="3"/>
      <c r="E54" s="3"/>
      <c r="F54" s="3"/>
      <c r="G54" s="3"/>
      <c r="H54" s="3"/>
      <c r="I54" s="4"/>
    </row>
  </sheetData>
  <sheetProtection/>
  <mergeCells count="15">
    <mergeCell ref="F35:F36"/>
    <mergeCell ref="G35:G36"/>
    <mergeCell ref="G24:G26"/>
    <mergeCell ref="B28:G28"/>
    <mergeCell ref="B29:D29"/>
    <mergeCell ref="C16:G16"/>
    <mergeCell ref="A38:I38"/>
    <mergeCell ref="B1:I1"/>
    <mergeCell ref="B2:I2"/>
    <mergeCell ref="C12:G12"/>
    <mergeCell ref="B21:G21"/>
    <mergeCell ref="B22:D22"/>
    <mergeCell ref="F24:F26"/>
    <mergeCell ref="A24:A26"/>
    <mergeCell ref="B36:E36"/>
  </mergeCells>
  <printOptions horizontalCentered="1"/>
  <pageMargins left="0.5" right="0.3937007874015748" top="0.55" bottom="1.11" header="0.17" footer="0.16"/>
  <pageSetup fitToHeight="3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1" max="1" width="14.00390625" style="178" bestFit="1" customWidth="1"/>
    <col min="2" max="2" width="7.00390625" style="178" bestFit="1" customWidth="1"/>
    <col min="3" max="3" width="24.28125" style="178" bestFit="1" customWidth="1"/>
    <col min="4" max="4" width="12.140625" style="178" bestFit="1" customWidth="1"/>
    <col min="5" max="5" width="21.8515625" style="178" bestFit="1" customWidth="1"/>
    <col min="6" max="7" width="14.57421875" style="178" bestFit="1" customWidth="1"/>
    <col min="8" max="16384" width="9.140625" style="178" customWidth="1"/>
  </cols>
  <sheetData>
    <row r="1" spans="1:3" s="173" customFormat="1" ht="30" customHeight="1">
      <c r="A1" s="170" t="s">
        <v>244</v>
      </c>
      <c r="B1" s="171"/>
      <c r="C1" s="172"/>
    </row>
    <row r="2" s="174" customFormat="1" ht="14.25">
      <c r="A2" s="174" t="s">
        <v>245</v>
      </c>
    </row>
    <row r="3" s="174" customFormat="1" ht="14.25">
      <c r="A3" s="174" t="s">
        <v>246</v>
      </c>
    </row>
    <row r="5" spans="1:2" s="176" customFormat="1" ht="19.5" customHeight="1">
      <c r="A5" s="175" t="s">
        <v>247</v>
      </c>
      <c r="B5" s="176" t="s">
        <v>248</v>
      </c>
    </row>
    <row r="6" spans="1:6" ht="14.25">
      <c r="A6" s="177" t="s">
        <v>249</v>
      </c>
      <c r="B6" s="177" t="s">
        <v>250</v>
      </c>
      <c r="C6" s="177" t="s">
        <v>251</v>
      </c>
      <c r="D6" s="177" t="s">
        <v>252</v>
      </c>
      <c r="E6" s="177" t="s">
        <v>253</v>
      </c>
      <c r="F6" s="177" t="s">
        <v>254</v>
      </c>
    </row>
    <row r="7" spans="1:6" ht="14.25">
      <c r="A7" s="179" t="s">
        <v>255</v>
      </c>
      <c r="B7" s="179" t="s">
        <v>256</v>
      </c>
      <c r="C7" s="179" t="s">
        <v>257</v>
      </c>
      <c r="D7" s="179" t="s">
        <v>258</v>
      </c>
      <c r="E7" s="179" t="s">
        <v>259</v>
      </c>
      <c r="F7" s="179" t="s">
        <v>260</v>
      </c>
    </row>
    <row r="8" spans="1:6" ht="14.25">
      <c r="A8" s="180"/>
      <c r="B8" s="180"/>
      <c r="C8" s="180" t="s">
        <v>261</v>
      </c>
      <c r="D8" s="180" t="s">
        <v>262</v>
      </c>
      <c r="E8" s="180" t="s">
        <v>263</v>
      </c>
      <c r="F8" s="180" t="s">
        <v>264</v>
      </c>
    </row>
    <row r="9" spans="1:6" s="182" customFormat="1" ht="14.25">
      <c r="A9" s="181" t="s">
        <v>265</v>
      </c>
      <c r="B9" s="181" t="s">
        <v>266</v>
      </c>
      <c r="C9" s="181" t="s">
        <v>267</v>
      </c>
      <c r="D9" s="181" t="s">
        <v>268</v>
      </c>
      <c r="E9" s="181" t="s">
        <v>269</v>
      </c>
      <c r="F9" s="181" t="s">
        <v>270</v>
      </c>
    </row>
    <row r="10" spans="1:6" ht="15.75" customHeight="1">
      <c r="A10" s="183" t="s">
        <v>271</v>
      </c>
      <c r="B10" s="184"/>
      <c r="C10" s="184"/>
      <c r="D10" s="184"/>
      <c r="E10" s="183">
        <v>0</v>
      </c>
      <c r="F10" s="184"/>
    </row>
    <row r="11" spans="1:6" ht="15.75" customHeight="1">
      <c r="A11" s="183" t="s">
        <v>272</v>
      </c>
      <c r="B11" s="184"/>
      <c r="C11" s="184"/>
      <c r="D11" s="184"/>
      <c r="E11" s="183">
        <v>5</v>
      </c>
      <c r="F11" s="184"/>
    </row>
    <row r="12" spans="1:6" ht="15.75" customHeight="1">
      <c r="A12" s="183" t="s">
        <v>273</v>
      </c>
      <c r="B12" s="184"/>
      <c r="C12" s="184"/>
      <c r="D12" s="184"/>
      <c r="E12" s="183">
        <v>15</v>
      </c>
      <c r="F12" s="184"/>
    </row>
    <row r="13" spans="1:6" ht="15.75" customHeight="1">
      <c r="A13" s="183" t="s">
        <v>274</v>
      </c>
      <c r="B13" s="184"/>
      <c r="C13" s="184"/>
      <c r="D13" s="184"/>
      <c r="E13" s="183">
        <v>30</v>
      </c>
      <c r="F13" s="184"/>
    </row>
    <row r="14" spans="1:6" ht="15.75" customHeight="1">
      <c r="A14" s="183" t="s">
        <v>275</v>
      </c>
      <c r="B14" s="184"/>
      <c r="C14" s="184"/>
      <c r="D14" s="184"/>
      <c r="E14" s="183">
        <v>50</v>
      </c>
      <c r="F14" s="184"/>
    </row>
    <row r="15" spans="3:7" ht="15.75" customHeight="1">
      <c r="C15" s="184" t="s">
        <v>594</v>
      </c>
      <c r="D15" s="185"/>
      <c r="F15" s="184" t="s">
        <v>276</v>
      </c>
      <c r="G15" s="184" t="s">
        <v>590</v>
      </c>
    </row>
    <row r="17" spans="1:2" s="176" customFormat="1" ht="19.5" customHeight="1">
      <c r="A17" s="175" t="s">
        <v>277</v>
      </c>
      <c r="B17" s="176" t="s">
        <v>278</v>
      </c>
    </row>
    <row r="18" spans="1:6" ht="15.75" customHeight="1">
      <c r="A18" s="185" t="s">
        <v>591</v>
      </c>
      <c r="B18" s="186"/>
      <c r="C18" s="187" t="s">
        <v>279</v>
      </c>
      <c r="D18" s="177" t="s">
        <v>280</v>
      </c>
      <c r="E18" s="188"/>
      <c r="F18" s="188"/>
    </row>
    <row r="19" spans="1:6" ht="15.75" customHeight="1">
      <c r="A19" s="189"/>
      <c r="B19" s="190"/>
      <c r="C19" s="191"/>
      <c r="D19" s="179" t="s">
        <v>281</v>
      </c>
      <c r="E19" s="192"/>
      <c r="F19" s="179" t="s">
        <v>254</v>
      </c>
    </row>
    <row r="20" spans="1:6" ht="15.75" customHeight="1">
      <c r="A20" s="189" t="s">
        <v>592</v>
      </c>
      <c r="B20" s="190"/>
      <c r="C20" s="191" t="s">
        <v>279</v>
      </c>
      <c r="D20" s="179" t="s">
        <v>282</v>
      </c>
      <c r="E20" s="179" t="s">
        <v>283</v>
      </c>
      <c r="F20" s="179" t="s">
        <v>284</v>
      </c>
    </row>
    <row r="21" spans="1:6" ht="15.75" customHeight="1">
      <c r="A21" s="189"/>
      <c r="B21" s="190"/>
      <c r="C21" s="191"/>
      <c r="D21" s="179" t="s">
        <v>285</v>
      </c>
      <c r="E21" s="192"/>
      <c r="F21" s="179" t="s">
        <v>286</v>
      </c>
    </row>
    <row r="22" spans="1:6" ht="15.75" customHeight="1">
      <c r="A22" s="193" t="s">
        <v>593</v>
      </c>
      <c r="B22" s="194"/>
      <c r="C22" s="195"/>
      <c r="D22" s="180" t="s">
        <v>287</v>
      </c>
      <c r="E22" s="196"/>
      <c r="F22" s="196"/>
    </row>
    <row r="23" spans="4:6" ht="15.75" customHeight="1">
      <c r="D23" s="183" t="s">
        <v>288</v>
      </c>
      <c r="E23" s="183"/>
      <c r="F23" s="183">
        <v>0</v>
      </c>
    </row>
    <row r="24" spans="4:6" ht="15.75" customHeight="1">
      <c r="D24" s="183" t="s">
        <v>289</v>
      </c>
      <c r="E24" s="183"/>
      <c r="F24" s="183">
        <v>10</v>
      </c>
    </row>
    <row r="25" spans="4:6" ht="15.75" customHeight="1">
      <c r="D25" s="183" t="s">
        <v>290</v>
      </c>
      <c r="E25" s="183"/>
      <c r="F25" s="183">
        <v>20</v>
      </c>
    </row>
    <row r="26" spans="4:6" ht="15.75" customHeight="1">
      <c r="D26" s="183" t="s">
        <v>291</v>
      </c>
      <c r="E26" s="183"/>
      <c r="F26" s="183">
        <v>30</v>
      </c>
    </row>
    <row r="27" ht="14.25">
      <c r="G27" s="184" t="s">
        <v>570</v>
      </c>
    </row>
    <row r="28" ht="14.25">
      <c r="G28" s="190"/>
    </row>
    <row r="29" spans="1:6" ht="14.25">
      <c r="A29" s="188" t="s">
        <v>292</v>
      </c>
      <c r="B29" s="188"/>
      <c r="C29" s="188" t="s">
        <v>293</v>
      </c>
      <c r="D29" s="188"/>
      <c r="E29" s="188" t="s">
        <v>294</v>
      </c>
      <c r="F29" s="188"/>
    </row>
    <row r="30" spans="1:6" ht="15.75" customHeight="1">
      <c r="A30" s="197"/>
      <c r="B30" s="196" t="s">
        <v>359</v>
      </c>
      <c r="C30" s="196" t="s">
        <v>295</v>
      </c>
      <c r="D30" s="196"/>
      <c r="E30" s="196" t="s">
        <v>295</v>
      </c>
      <c r="F30" s="196"/>
    </row>
    <row r="31" spans="1:6" ht="15.75" customHeight="1">
      <c r="A31" s="198"/>
      <c r="B31" s="190"/>
      <c r="C31" s="190"/>
      <c r="D31" s="190"/>
      <c r="E31" s="190"/>
      <c r="F31" s="190"/>
    </row>
    <row r="32" spans="1:6" ht="15.75" customHeight="1">
      <c r="A32" s="190" t="s">
        <v>296</v>
      </c>
      <c r="B32" s="190"/>
      <c r="C32" s="190"/>
      <c r="D32" s="190"/>
      <c r="E32" s="190"/>
      <c r="F32" s="190"/>
    </row>
    <row r="34" spans="1:7" ht="14.25">
      <c r="A34" s="178" t="s">
        <v>297</v>
      </c>
      <c r="C34" s="178" t="s">
        <v>298</v>
      </c>
      <c r="D34" s="178" t="s">
        <v>299</v>
      </c>
      <c r="E34" s="178" t="s">
        <v>300</v>
      </c>
      <c r="F34" s="178" t="s">
        <v>301</v>
      </c>
      <c r="G34" s="178" t="s">
        <v>302</v>
      </c>
    </row>
    <row r="35" spans="1:7" ht="14.25">
      <c r="A35" s="178" t="s">
        <v>303</v>
      </c>
      <c r="C35" s="178" t="s">
        <v>304</v>
      </c>
      <c r="D35" s="178" t="s">
        <v>305</v>
      </c>
      <c r="E35" s="178" t="s">
        <v>306</v>
      </c>
      <c r="F35" s="178" t="s">
        <v>307</v>
      </c>
      <c r="G35" s="178" t="s">
        <v>308</v>
      </c>
    </row>
    <row r="36" spans="1:7" ht="14.25">
      <c r="A36" s="178" t="s">
        <v>309</v>
      </c>
      <c r="C36" s="178" t="s">
        <v>310</v>
      </c>
      <c r="D36" s="178" t="s">
        <v>311</v>
      </c>
      <c r="E36" s="178" t="s">
        <v>312</v>
      </c>
      <c r="F36" s="178" t="s">
        <v>313</v>
      </c>
      <c r="G36" s="178" t="s">
        <v>314</v>
      </c>
    </row>
    <row r="37" spans="1:7" ht="14.25">
      <c r="A37" s="178" t="s">
        <v>315</v>
      </c>
      <c r="C37" s="178" t="s">
        <v>316</v>
      </c>
      <c r="D37" s="178" t="s">
        <v>317</v>
      </c>
      <c r="E37" s="178" t="s">
        <v>318</v>
      </c>
      <c r="F37" s="178" t="s">
        <v>319</v>
      </c>
      <c r="G37" s="178" t="s">
        <v>320</v>
      </c>
    </row>
    <row r="38" spans="1:7" ht="14.25">
      <c r="A38" s="178" t="s">
        <v>321</v>
      </c>
      <c r="C38" s="178" t="s">
        <v>322</v>
      </c>
      <c r="D38" s="178" t="s">
        <v>323</v>
      </c>
      <c r="E38" s="178" t="s">
        <v>324</v>
      </c>
      <c r="F38" s="178" t="s">
        <v>325</v>
      </c>
      <c r="G38" s="178" t="s">
        <v>326</v>
      </c>
    </row>
    <row r="39" spans="1:4" ht="14.25">
      <c r="A39" s="178" t="s">
        <v>327</v>
      </c>
      <c r="C39" s="178" t="s">
        <v>328</v>
      </c>
      <c r="D39" s="178" t="s">
        <v>329</v>
      </c>
    </row>
    <row r="41" spans="1:7" ht="19.5" customHeight="1">
      <c r="A41" s="185" t="s">
        <v>330</v>
      </c>
      <c r="B41" s="186"/>
      <c r="C41" s="186"/>
      <c r="D41" s="186"/>
      <c r="E41" s="186"/>
      <c r="F41" s="186"/>
      <c r="G41" s="187"/>
    </row>
    <row r="42" spans="1:7" ht="19.5" customHeight="1">
      <c r="A42" s="193" t="s">
        <v>331</v>
      </c>
      <c r="B42" s="194"/>
      <c r="C42" s="194"/>
      <c r="D42" s="194"/>
      <c r="E42" s="194"/>
      <c r="F42" s="194" t="s">
        <v>332</v>
      </c>
      <c r="G42" s="195" t="s">
        <v>333</v>
      </c>
    </row>
    <row r="44" spans="1:7" ht="19.5" customHeight="1">
      <c r="A44" s="185" t="s">
        <v>334</v>
      </c>
      <c r="B44" s="186"/>
      <c r="C44" s="186"/>
      <c r="D44" s="186"/>
      <c r="E44" s="186"/>
      <c r="F44" s="186"/>
      <c r="G44" s="187"/>
    </row>
    <row r="45" spans="1:7" ht="19.5" customHeight="1">
      <c r="A45" s="193" t="s">
        <v>335</v>
      </c>
      <c r="B45" s="194"/>
      <c r="C45" s="194" t="s">
        <v>336</v>
      </c>
      <c r="D45" s="194"/>
      <c r="E45" s="194"/>
      <c r="F45" s="194" t="s">
        <v>337</v>
      </c>
      <c r="G45" s="195" t="s">
        <v>333</v>
      </c>
    </row>
    <row r="47" spans="1:7" ht="19.5" customHeight="1">
      <c r="A47" s="185" t="s">
        <v>338</v>
      </c>
      <c r="B47" s="186"/>
      <c r="C47" s="186"/>
      <c r="D47" s="186"/>
      <c r="E47" s="186"/>
      <c r="F47" s="186"/>
      <c r="G47" s="187"/>
    </row>
    <row r="48" spans="1:7" ht="19.5" customHeight="1">
      <c r="A48" s="189" t="s">
        <v>339</v>
      </c>
      <c r="B48" s="190"/>
      <c r="C48" s="190" t="s">
        <v>336</v>
      </c>
      <c r="D48" s="190"/>
      <c r="E48" s="190"/>
      <c r="F48" s="199" t="s">
        <v>340</v>
      </c>
      <c r="G48" s="191" t="s">
        <v>333</v>
      </c>
    </row>
    <row r="49" spans="1:7" ht="15.75" customHeight="1">
      <c r="A49" s="189"/>
      <c r="B49" s="190"/>
      <c r="C49" s="190"/>
      <c r="D49" s="190"/>
      <c r="E49" s="190"/>
      <c r="F49" s="190"/>
      <c r="G49" s="191"/>
    </row>
    <row r="50" spans="1:7" ht="15.75" customHeight="1">
      <c r="A50" s="189" t="s">
        <v>341</v>
      </c>
      <c r="B50" s="200" t="s">
        <v>342</v>
      </c>
      <c r="C50" s="190" t="s">
        <v>343</v>
      </c>
      <c r="D50" s="190"/>
      <c r="E50" s="190"/>
      <c r="F50" s="190"/>
      <c r="G50" s="191"/>
    </row>
    <row r="51" spans="1:7" ht="15.75" customHeight="1">
      <c r="A51" s="189"/>
      <c r="B51" s="190" t="s">
        <v>344</v>
      </c>
      <c r="C51" s="190"/>
      <c r="D51" s="190"/>
      <c r="E51" s="190"/>
      <c r="F51" s="190"/>
      <c r="G51" s="191"/>
    </row>
    <row r="52" spans="1:7" ht="15.75" customHeight="1">
      <c r="A52" s="193"/>
      <c r="B52" s="201" t="s">
        <v>345</v>
      </c>
      <c r="C52" s="194" t="s">
        <v>346</v>
      </c>
      <c r="D52" s="194"/>
      <c r="E52" s="194"/>
      <c r="F52" s="194"/>
      <c r="G52" s="195"/>
    </row>
    <row r="53" ht="15.75" customHeight="1"/>
    <row r="54" ht="15.75" customHeight="1"/>
    <row r="55" ht="15.75" customHeight="1"/>
  </sheetData>
  <sheetProtection/>
  <printOptions horizontalCentered="1" verticalCentered="1"/>
  <pageMargins left="0.984251968503937" right="0.3937007874015748" top="1.3779527559055118" bottom="0.7874015748031497" header="0.5118110236220472" footer="0.5118110236220472"/>
  <pageSetup fitToHeight="1" fitToWidth="1" horizontalDpi="300" verticalDpi="300" orientation="portrait" paperSize="9" scale="82" r:id="rId2"/>
  <headerFooter alignWithMargins="0">
    <oddFooter>&amp;R&amp;"Century Gothic,Normale\&amp;8&amp;F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1" max="2" width="14.7109375" style="178" customWidth="1"/>
    <col min="3" max="3" width="11.7109375" style="178" customWidth="1"/>
    <col min="4" max="4" width="14.7109375" style="178" customWidth="1"/>
    <col min="5" max="5" width="11.7109375" style="178" customWidth="1"/>
    <col min="6" max="6" width="18.421875" style="178" bestFit="1" customWidth="1"/>
    <col min="7" max="7" width="11.7109375" style="178" customWidth="1"/>
    <col min="8" max="12" width="5.7109375" style="178" customWidth="1"/>
    <col min="13" max="16384" width="9.140625" style="178" customWidth="1"/>
  </cols>
  <sheetData>
    <row r="1" spans="1:7" s="173" customFormat="1" ht="30" customHeight="1">
      <c r="A1" s="170" t="s">
        <v>347</v>
      </c>
      <c r="B1" s="171"/>
      <c r="C1" s="171"/>
      <c r="D1" s="172"/>
      <c r="E1" s="202"/>
      <c r="F1" s="202"/>
      <c r="G1" s="202"/>
    </row>
    <row r="2" s="174" customFormat="1" ht="14.25"/>
    <row r="3" s="174" customFormat="1" ht="14.25">
      <c r="A3" s="174" t="s">
        <v>348</v>
      </c>
    </row>
    <row r="4" spans="1:13" ht="15.75">
      <c r="A4" s="174" t="s">
        <v>349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ht="19.5" customHeight="1">
      <c r="A5" s="203" t="s">
        <v>350</v>
      </c>
    </row>
    <row r="6" ht="19.5" customHeight="1">
      <c r="A6" s="203"/>
    </row>
    <row r="7" spans="1:7" ht="14.25">
      <c r="A7" s="177" t="s">
        <v>351</v>
      </c>
      <c r="B7" s="177" t="s">
        <v>352</v>
      </c>
      <c r="C7" s="188"/>
      <c r="D7" s="177" t="s">
        <v>352</v>
      </c>
      <c r="E7" s="188"/>
      <c r="F7" s="177" t="s">
        <v>353</v>
      </c>
      <c r="G7" s="188"/>
    </row>
    <row r="8" spans="1:7" ht="14.25">
      <c r="A8" s="179" t="s">
        <v>354</v>
      </c>
      <c r="B8" s="179" t="s">
        <v>355</v>
      </c>
      <c r="C8" s="192"/>
      <c r="D8" s="179" t="s">
        <v>356</v>
      </c>
      <c r="E8" s="192"/>
      <c r="F8" s="179" t="s">
        <v>357</v>
      </c>
      <c r="G8" s="179" t="s">
        <v>217</v>
      </c>
    </row>
    <row r="9" spans="1:7" ht="14.25">
      <c r="A9" s="204"/>
      <c r="B9" s="179" t="s">
        <v>358</v>
      </c>
      <c r="C9" s="179" t="s">
        <v>359</v>
      </c>
      <c r="D9" s="179" t="s">
        <v>360</v>
      </c>
      <c r="E9" s="179" t="s">
        <v>359</v>
      </c>
      <c r="F9" s="179" t="s">
        <v>361</v>
      </c>
      <c r="G9" s="179" t="s">
        <v>362</v>
      </c>
    </row>
    <row r="10" spans="1:7" ht="14.25">
      <c r="A10" s="192"/>
      <c r="B10" s="192"/>
      <c r="C10" s="192"/>
      <c r="D10" s="192"/>
      <c r="E10" s="192"/>
      <c r="F10" s="179" t="s">
        <v>363</v>
      </c>
      <c r="G10" s="192"/>
    </row>
    <row r="11" spans="1:7" ht="14.25">
      <c r="A11" s="192"/>
      <c r="B11" s="192"/>
      <c r="C11" s="192"/>
      <c r="D11" s="192"/>
      <c r="E11" s="192"/>
      <c r="F11" s="179" t="s">
        <v>364</v>
      </c>
      <c r="G11" s="192"/>
    </row>
    <row r="12" spans="1:7" ht="14.25">
      <c r="A12" s="192"/>
      <c r="B12" s="192"/>
      <c r="C12" s="192"/>
      <c r="D12" s="192"/>
      <c r="E12" s="192"/>
      <c r="F12" s="179" t="s">
        <v>365</v>
      </c>
      <c r="G12" s="192"/>
    </row>
    <row r="13" spans="1:7" ht="14.25">
      <c r="A13" s="196"/>
      <c r="B13" s="196"/>
      <c r="C13" s="196"/>
      <c r="D13" s="196"/>
      <c r="E13" s="196"/>
      <c r="F13" s="180" t="s">
        <v>366</v>
      </c>
      <c r="G13" s="196"/>
    </row>
    <row r="14" spans="1:7" ht="14.25">
      <c r="A14" s="181" t="s">
        <v>265</v>
      </c>
      <c r="B14" s="181" t="s">
        <v>266</v>
      </c>
      <c r="C14" s="181" t="s">
        <v>367</v>
      </c>
      <c r="D14" s="181" t="s">
        <v>368</v>
      </c>
      <c r="E14" s="181" t="s">
        <v>369</v>
      </c>
      <c r="F14" s="181" t="s">
        <v>370</v>
      </c>
      <c r="G14" s="181" t="s">
        <v>371</v>
      </c>
    </row>
    <row r="15" spans="1:7" ht="14.25">
      <c r="A15" s="188"/>
      <c r="B15" s="188"/>
      <c r="C15" s="188"/>
      <c r="D15" s="177"/>
      <c r="E15" s="188"/>
      <c r="F15" s="205" t="s">
        <v>372</v>
      </c>
      <c r="G15" s="206">
        <v>20</v>
      </c>
    </row>
    <row r="16" spans="1:7" ht="14.25">
      <c r="A16" s="192"/>
      <c r="B16" s="192"/>
      <c r="C16" s="192"/>
      <c r="D16" s="179" t="s">
        <v>373</v>
      </c>
      <c r="E16" s="207">
        <v>0.8333333333333334</v>
      </c>
      <c r="F16" s="208" t="s">
        <v>374</v>
      </c>
      <c r="G16" s="209" t="s">
        <v>375</v>
      </c>
    </row>
    <row r="17" spans="1:7" ht="14.25">
      <c r="A17" s="192"/>
      <c r="B17" s="192"/>
      <c r="C17" s="192"/>
      <c r="D17" s="210">
        <v>0.041666666666666664</v>
      </c>
      <c r="E17" s="196"/>
      <c r="F17" s="211" t="s">
        <v>376</v>
      </c>
      <c r="G17" s="212">
        <v>17</v>
      </c>
    </row>
    <row r="18" spans="1:7" ht="14.25">
      <c r="A18" s="192"/>
      <c r="B18" s="179" t="s">
        <v>377</v>
      </c>
      <c r="C18" s="192"/>
      <c r="D18" s="177"/>
      <c r="E18" s="188"/>
      <c r="F18" s="205" t="s">
        <v>372</v>
      </c>
      <c r="G18" s="206">
        <v>16</v>
      </c>
    </row>
    <row r="19" spans="1:7" ht="14.25">
      <c r="A19" s="192"/>
      <c r="B19" s="179" t="s">
        <v>378</v>
      </c>
      <c r="C19" s="207">
        <v>0.8333333333333334</v>
      </c>
      <c r="D19" s="179" t="s">
        <v>379</v>
      </c>
      <c r="E19" s="207">
        <v>0.6666666666666666</v>
      </c>
      <c r="F19" s="208" t="s">
        <v>374</v>
      </c>
      <c r="G19" s="209" t="s">
        <v>375</v>
      </c>
    </row>
    <row r="20" spans="1:7" ht="14.25">
      <c r="A20" s="192"/>
      <c r="B20" s="207">
        <v>0.041666666666666664</v>
      </c>
      <c r="C20" s="192"/>
      <c r="D20" s="213" t="s">
        <v>380</v>
      </c>
      <c r="E20" s="196"/>
      <c r="F20" s="211" t="s">
        <v>376</v>
      </c>
      <c r="G20" s="212">
        <v>13.6</v>
      </c>
    </row>
    <row r="21" spans="1:7" ht="14.25">
      <c r="A21" s="192"/>
      <c r="B21" s="192"/>
      <c r="C21" s="192"/>
      <c r="D21" s="177"/>
      <c r="E21" s="188"/>
      <c r="F21" s="205" t="s">
        <v>372</v>
      </c>
      <c r="G21" s="206">
        <v>12</v>
      </c>
    </row>
    <row r="22" spans="1:7" ht="14.25">
      <c r="A22" s="192"/>
      <c r="B22" s="192"/>
      <c r="C22" s="192"/>
      <c r="D22" s="179" t="s">
        <v>381</v>
      </c>
      <c r="E22" s="207">
        <v>0.5</v>
      </c>
      <c r="F22" s="208" t="s">
        <v>374</v>
      </c>
      <c r="G22" s="209" t="s">
        <v>375</v>
      </c>
    </row>
    <row r="23" spans="1:7" ht="14.25">
      <c r="A23" s="207">
        <v>0.8333333333333334</v>
      </c>
      <c r="B23" s="196"/>
      <c r="C23" s="196"/>
      <c r="D23" s="213" t="s">
        <v>382</v>
      </c>
      <c r="E23" s="196"/>
      <c r="F23" s="211" t="s">
        <v>376</v>
      </c>
      <c r="G23" s="212">
        <v>10.2</v>
      </c>
    </row>
    <row r="24" spans="1:7" ht="14.25">
      <c r="A24" s="192"/>
      <c r="B24" s="188"/>
      <c r="C24" s="188"/>
      <c r="D24" s="177"/>
      <c r="E24" s="188"/>
      <c r="F24" s="205" t="s">
        <v>383</v>
      </c>
      <c r="G24" s="206">
        <v>8.1</v>
      </c>
    </row>
    <row r="25" spans="1:7" ht="14.25">
      <c r="A25" s="192"/>
      <c r="B25" s="192"/>
      <c r="C25" s="192"/>
      <c r="D25" s="179" t="s">
        <v>373</v>
      </c>
      <c r="E25" s="207">
        <v>0.375</v>
      </c>
      <c r="F25" s="208" t="s">
        <v>374</v>
      </c>
      <c r="G25" s="209" t="s">
        <v>375</v>
      </c>
    </row>
    <row r="26" spans="1:7" ht="14.25">
      <c r="A26" s="192"/>
      <c r="B26" s="192"/>
      <c r="C26" s="192"/>
      <c r="D26" s="210">
        <v>0.041666666666666664</v>
      </c>
      <c r="E26" s="196"/>
      <c r="F26" s="211" t="s">
        <v>384</v>
      </c>
      <c r="G26" s="212">
        <v>7.2</v>
      </c>
    </row>
    <row r="27" spans="1:7" ht="14.25">
      <c r="A27" s="192"/>
      <c r="B27" s="179" t="s">
        <v>385</v>
      </c>
      <c r="C27" s="192"/>
      <c r="D27" s="177"/>
      <c r="E27" s="188"/>
      <c r="F27" s="205" t="s">
        <v>383</v>
      </c>
      <c r="G27" s="206">
        <v>6.75</v>
      </c>
    </row>
    <row r="28" spans="1:7" ht="14.25">
      <c r="A28" s="192"/>
      <c r="B28" s="179"/>
      <c r="C28" s="207">
        <v>0.4166666666666667</v>
      </c>
      <c r="D28" s="179" t="s">
        <v>379</v>
      </c>
      <c r="E28" s="207">
        <v>0.3263888888888889</v>
      </c>
      <c r="F28" s="208" t="s">
        <v>374</v>
      </c>
      <c r="G28" s="209" t="s">
        <v>375</v>
      </c>
    </row>
    <row r="29" spans="1:7" ht="14.25">
      <c r="A29" s="192"/>
      <c r="B29" s="207">
        <v>0.034722222222222224</v>
      </c>
      <c r="C29" s="192"/>
      <c r="D29" s="213" t="s">
        <v>380</v>
      </c>
      <c r="E29" s="196"/>
      <c r="F29" s="211" t="s">
        <v>384</v>
      </c>
      <c r="G29" s="212">
        <v>6</v>
      </c>
    </row>
    <row r="30" spans="1:7" ht="14.25">
      <c r="A30" s="192"/>
      <c r="B30" s="192"/>
      <c r="C30" s="192"/>
      <c r="D30" s="177"/>
      <c r="E30" s="188"/>
      <c r="F30" s="205" t="s">
        <v>383</v>
      </c>
      <c r="G30" s="206">
        <v>5.65</v>
      </c>
    </row>
    <row r="31" spans="1:7" ht="14.25">
      <c r="A31" s="192"/>
      <c r="B31" s="192"/>
      <c r="C31" s="192"/>
      <c r="D31" s="179" t="s">
        <v>381</v>
      </c>
      <c r="E31" s="207">
        <v>0.2673611111111111</v>
      </c>
      <c r="F31" s="208" t="s">
        <v>374</v>
      </c>
      <c r="G31" s="209" t="s">
        <v>375</v>
      </c>
    </row>
    <row r="32" spans="1:7" ht="14.25">
      <c r="A32" s="196"/>
      <c r="B32" s="196"/>
      <c r="C32" s="196"/>
      <c r="D32" s="213" t="s">
        <v>382</v>
      </c>
      <c r="E32" s="196"/>
      <c r="F32" s="211" t="s">
        <v>384</v>
      </c>
      <c r="G32" s="212">
        <v>5</v>
      </c>
    </row>
    <row r="33" spans="1:7" ht="14.25">
      <c r="A33" s="190"/>
      <c r="B33" s="190"/>
      <c r="C33" s="190"/>
      <c r="D33" s="214"/>
      <c r="E33" s="190"/>
      <c r="F33" s="215"/>
      <c r="G33" s="216"/>
    </row>
    <row r="34" spans="1:7" ht="14.25">
      <c r="A34" s="190"/>
      <c r="B34" s="190"/>
      <c r="C34" s="190"/>
      <c r="D34" s="214"/>
      <c r="E34" s="190"/>
      <c r="F34" s="215"/>
      <c r="G34" s="216"/>
    </row>
    <row r="35" spans="1:7" ht="14.25">
      <c r="A35" s="190"/>
      <c r="B35" s="190"/>
      <c r="C35" s="190"/>
      <c r="D35" s="214"/>
      <c r="E35" s="190"/>
      <c r="F35" s="215"/>
      <c r="G35" s="216"/>
    </row>
    <row r="36" spans="1:7" ht="14.25">
      <c r="A36" s="217" t="s">
        <v>386</v>
      </c>
      <c r="B36" s="218"/>
      <c r="C36" s="218"/>
      <c r="D36" s="218"/>
      <c r="E36" s="218"/>
      <c r="F36" s="218"/>
      <c r="G36" s="218"/>
    </row>
    <row r="37" spans="1:7" ht="14.25">
      <c r="A37" s="190" t="s">
        <v>387</v>
      </c>
      <c r="B37" s="190"/>
      <c r="C37" s="190"/>
      <c r="D37" s="190"/>
      <c r="E37" s="190"/>
      <c r="F37" s="190"/>
      <c r="G37" s="190"/>
    </row>
    <row r="38" spans="1:7" ht="14.25">
      <c r="A38" s="190"/>
      <c r="B38" s="431" t="s">
        <v>388</v>
      </c>
      <c r="C38" s="431"/>
      <c r="D38" s="431"/>
      <c r="E38" s="431"/>
      <c r="F38" s="431"/>
      <c r="G38" s="431"/>
    </row>
    <row r="39" spans="1:7" ht="14.25">
      <c r="A39" s="190" t="s">
        <v>389</v>
      </c>
      <c r="B39" s="190"/>
      <c r="C39" s="190"/>
      <c r="D39" s="190"/>
      <c r="E39" s="190"/>
      <c r="F39" s="190"/>
      <c r="G39" s="190"/>
    </row>
    <row r="40" spans="1:7" ht="14.25">
      <c r="A40" s="190" t="s">
        <v>390</v>
      </c>
      <c r="B40" s="190"/>
      <c r="C40" s="190"/>
      <c r="D40" s="190"/>
      <c r="E40" s="190"/>
      <c r="F40" s="190"/>
      <c r="G40" s="190"/>
    </row>
    <row r="41" spans="1:7" ht="14.25">
      <c r="A41" s="190"/>
      <c r="B41" s="431" t="s">
        <v>391</v>
      </c>
      <c r="C41" s="431"/>
      <c r="D41" s="431"/>
      <c r="E41" s="431"/>
      <c r="F41" s="431"/>
      <c r="G41" s="431"/>
    </row>
    <row r="42" spans="1:7" ht="14.25">
      <c r="A42" s="190" t="s">
        <v>392</v>
      </c>
      <c r="B42" s="190"/>
      <c r="C42" s="190"/>
      <c r="D42" s="190"/>
      <c r="E42" s="190"/>
      <c r="F42" s="190"/>
      <c r="G42" s="190"/>
    </row>
    <row r="43" spans="1:7" ht="14.25">
      <c r="A43" s="219" t="s">
        <v>393</v>
      </c>
      <c r="B43" s="219"/>
      <c r="C43" s="219"/>
      <c r="D43" s="219"/>
      <c r="E43" s="219"/>
      <c r="F43" s="219"/>
      <c r="G43" s="219"/>
    </row>
    <row r="44" spans="1:7" ht="14.25">
      <c r="A44" s="217" t="s">
        <v>394</v>
      </c>
      <c r="B44" s="218"/>
      <c r="C44" s="218"/>
      <c r="D44" s="218"/>
      <c r="E44" s="218"/>
      <c r="F44" s="218"/>
      <c r="G44" s="218"/>
    </row>
    <row r="45" spans="1:7" ht="14.25">
      <c r="A45" s="190" t="s">
        <v>395</v>
      </c>
      <c r="B45" s="190"/>
      <c r="C45" s="190"/>
      <c r="D45" s="190"/>
      <c r="E45" s="190"/>
      <c r="F45" s="190"/>
      <c r="G45" s="190"/>
    </row>
    <row r="46" spans="1:7" ht="14.25">
      <c r="A46" s="190" t="s">
        <v>396</v>
      </c>
      <c r="B46" s="190"/>
      <c r="C46" s="190"/>
      <c r="D46" s="190"/>
      <c r="E46" s="190"/>
      <c r="F46" s="190"/>
      <c r="G46" s="190"/>
    </row>
    <row r="47" spans="1:7" ht="14.25">
      <c r="A47" s="219"/>
      <c r="B47" s="219"/>
      <c r="C47" s="219"/>
      <c r="D47" s="219"/>
      <c r="E47" s="219"/>
      <c r="F47" s="219"/>
      <c r="G47" s="219"/>
    </row>
  </sheetData>
  <sheetProtection sheet="1" objects="1" scenarios="1"/>
  <mergeCells count="2">
    <mergeCell ref="B38:G38"/>
    <mergeCell ref="B41:G41"/>
  </mergeCells>
  <printOptions horizontalCentered="1" verticalCentered="1"/>
  <pageMargins left="0.3937007874015748" right="0" top="1.3779527559055118" bottom="0.7874015748031497" header="0.5118110236220472" footer="0.5118110236220472"/>
  <pageSetup horizontalDpi="300" verticalDpi="300" orientation="portrait" paperSize="9" r:id="rId2"/>
  <headerFooter alignWithMargins="0">
    <oddFooter>&amp;R&amp;"Century Gothic,Normale\&amp;8&amp;F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L47" sqref="L47"/>
    </sheetView>
  </sheetViews>
  <sheetFormatPr defaultColWidth="9.140625" defaultRowHeight="12.75"/>
  <cols>
    <col min="1" max="1" width="4.7109375" style="81" customWidth="1"/>
    <col min="2" max="4" width="9.140625" style="81" customWidth="1"/>
    <col min="5" max="5" width="10.140625" style="81" bestFit="1" customWidth="1"/>
    <col min="6" max="8" width="9.140625" style="81" customWidth="1"/>
    <col min="9" max="9" width="15.8515625" style="81" customWidth="1"/>
    <col min="10" max="16384" width="9.140625" style="81" customWidth="1"/>
  </cols>
  <sheetData>
    <row r="1" spans="2:5" ht="12">
      <c r="B1" s="81" t="s">
        <v>681</v>
      </c>
      <c r="E1" s="297"/>
    </row>
    <row r="2" ht="12">
      <c r="E2" s="277"/>
    </row>
    <row r="3" ht="12">
      <c r="B3" s="81" t="s">
        <v>494</v>
      </c>
    </row>
    <row r="4" spans="2:9" ht="12.75">
      <c r="B4" s="432"/>
      <c r="C4" s="433"/>
      <c r="D4" s="433"/>
      <c r="E4" s="433"/>
      <c r="F4" s="433"/>
      <c r="G4" s="433"/>
      <c r="H4" s="433"/>
      <c r="I4" s="434"/>
    </row>
    <row r="5" spans="2:9" ht="12.75">
      <c r="B5" s="307"/>
      <c r="C5" s="308"/>
      <c r="D5" s="308"/>
      <c r="E5" s="308"/>
      <c r="F5" s="308"/>
      <c r="G5" s="308"/>
      <c r="H5" s="308"/>
      <c r="I5" s="308"/>
    </row>
    <row r="6" spans="2:9" ht="12.75">
      <c r="B6" s="141" t="s">
        <v>504</v>
      </c>
      <c r="C6" s="141"/>
      <c r="D6" s="141"/>
      <c r="F6" s="141" t="s">
        <v>505</v>
      </c>
      <c r="G6" s="141" t="s">
        <v>506</v>
      </c>
      <c r="I6" s="308"/>
    </row>
    <row r="7" spans="2:9" ht="12">
      <c r="B7" s="435"/>
      <c r="C7" s="436"/>
      <c r="D7" s="436"/>
      <c r="E7" s="437"/>
      <c r="F7" s="298"/>
      <c r="G7" s="438"/>
      <c r="H7" s="436"/>
      <c r="I7" s="437"/>
    </row>
    <row r="8" spans="2:9" ht="13.5">
      <c r="B8" s="309"/>
      <c r="C8" s="309"/>
      <c r="D8" s="309"/>
      <c r="E8" s="310"/>
      <c r="F8" s="311"/>
      <c r="G8" s="311"/>
      <c r="H8" s="311"/>
      <c r="I8" s="308"/>
    </row>
    <row r="9" spans="2:9" ht="12.75">
      <c r="B9" s="141" t="s">
        <v>507</v>
      </c>
      <c r="C9" s="141"/>
      <c r="D9" s="141"/>
      <c r="E9" s="141"/>
      <c r="F9" s="141"/>
      <c r="G9" s="141"/>
      <c r="H9" s="141"/>
      <c r="I9" s="308"/>
    </row>
    <row r="10" spans="2:9" ht="12.75">
      <c r="B10" s="432"/>
      <c r="C10" s="439"/>
      <c r="D10" s="439"/>
      <c r="E10" s="439"/>
      <c r="F10" s="439"/>
      <c r="G10" s="439"/>
      <c r="H10" s="439"/>
      <c r="I10" s="440"/>
    </row>
    <row r="11" spans="2:9" ht="13.5">
      <c r="B11" s="312"/>
      <c r="C11" s="312"/>
      <c r="D11" s="312"/>
      <c r="E11" s="312"/>
      <c r="F11" s="312"/>
      <c r="G11" s="312"/>
      <c r="H11" s="312"/>
      <c r="I11" s="308"/>
    </row>
    <row r="12" spans="2:9" ht="12.75">
      <c r="B12" s="141" t="s">
        <v>508</v>
      </c>
      <c r="C12" s="141"/>
      <c r="D12" s="141"/>
      <c r="E12" s="141"/>
      <c r="F12" s="141"/>
      <c r="G12" s="141"/>
      <c r="I12" s="141" t="s">
        <v>505</v>
      </c>
    </row>
    <row r="13" spans="2:9" ht="12.75">
      <c r="B13" s="432"/>
      <c r="C13" s="433"/>
      <c r="D13" s="433"/>
      <c r="E13" s="433"/>
      <c r="F13" s="433"/>
      <c r="G13" s="433"/>
      <c r="H13" s="434"/>
      <c r="I13" s="314"/>
    </row>
    <row r="14" spans="2:9" ht="12">
      <c r="B14" s="279"/>
      <c r="C14" s="279"/>
      <c r="D14" s="279"/>
      <c r="E14" s="279"/>
      <c r="F14" s="279"/>
      <c r="G14" s="279"/>
      <c r="H14" s="279"/>
      <c r="I14" s="279"/>
    </row>
    <row r="15" ht="12">
      <c r="B15" s="81" t="s">
        <v>495</v>
      </c>
    </row>
    <row r="16" spans="2:9" ht="12.75">
      <c r="B16" s="432"/>
      <c r="C16" s="433"/>
      <c r="D16" s="433"/>
      <c r="E16" s="433"/>
      <c r="F16" s="433"/>
      <c r="G16" s="433"/>
      <c r="H16" s="433"/>
      <c r="I16" s="434"/>
    </row>
    <row r="17" spans="2:9" ht="12">
      <c r="B17" s="279"/>
      <c r="C17" s="279"/>
      <c r="D17" s="279"/>
      <c r="E17" s="279"/>
      <c r="F17" s="279"/>
      <c r="G17" s="279"/>
      <c r="H17" s="279"/>
      <c r="I17" s="279"/>
    </row>
    <row r="18" ht="12">
      <c r="B18" s="81" t="s">
        <v>496</v>
      </c>
    </row>
    <row r="19" spans="2:9" ht="12.75">
      <c r="B19" s="432"/>
      <c r="C19" s="433"/>
      <c r="D19" s="433"/>
      <c r="E19" s="433"/>
      <c r="F19" s="433"/>
      <c r="G19" s="433"/>
      <c r="H19" s="433"/>
      <c r="I19" s="434"/>
    </row>
    <row r="20" spans="2:9" ht="12">
      <c r="B20" s="279"/>
      <c r="C20" s="279"/>
      <c r="D20" s="278"/>
      <c r="E20" s="279"/>
      <c r="F20" s="279"/>
      <c r="G20" s="279"/>
      <c r="H20" s="279"/>
      <c r="I20" s="279"/>
    </row>
    <row r="21" spans="2:4" ht="12">
      <c r="B21" s="81" t="s">
        <v>680</v>
      </c>
      <c r="D21" s="298"/>
    </row>
    <row r="23" spans="2:9" ht="12">
      <c r="B23" s="81" t="s">
        <v>497</v>
      </c>
      <c r="I23" s="81" t="s">
        <v>509</v>
      </c>
    </row>
    <row r="24" spans="2:9" ht="12.75">
      <c r="B24" s="432"/>
      <c r="C24" s="442"/>
      <c r="D24" s="442"/>
      <c r="E24" s="442"/>
      <c r="F24" s="443"/>
      <c r="G24" s="444"/>
      <c r="H24" s="315"/>
      <c r="I24" s="320"/>
    </row>
    <row r="25" spans="6:9" ht="12.75">
      <c r="F25" s="316"/>
      <c r="G25" s="315"/>
      <c r="H25" s="315"/>
      <c r="I25" s="315"/>
    </row>
    <row r="26" spans="2:9" ht="12.75">
      <c r="B26" s="81" t="s">
        <v>498</v>
      </c>
      <c r="F26" s="316"/>
      <c r="G26" s="315"/>
      <c r="H26" s="315"/>
      <c r="I26" s="81" t="s">
        <v>509</v>
      </c>
    </row>
    <row r="27" spans="2:9" ht="12.75">
      <c r="B27" s="432"/>
      <c r="C27" s="442"/>
      <c r="D27" s="442"/>
      <c r="E27" s="442"/>
      <c r="F27" s="445"/>
      <c r="G27" s="446"/>
      <c r="H27" s="315"/>
      <c r="I27" s="320"/>
    </row>
    <row r="28" spans="6:9" ht="12.75">
      <c r="F28" s="316"/>
      <c r="G28" s="315"/>
      <c r="H28" s="315"/>
      <c r="I28" s="315"/>
    </row>
    <row r="30" spans="2:9" ht="12">
      <c r="B30" s="280"/>
      <c r="C30" s="4" t="s">
        <v>512</v>
      </c>
      <c r="I30" s="313">
        <f>SUM(standard!F47)</f>
        <v>0</v>
      </c>
    </row>
    <row r="31" spans="2:9" ht="12">
      <c r="B31" s="280"/>
      <c r="C31" s="4" t="s">
        <v>513</v>
      </c>
      <c r="I31" s="313">
        <f>SUM(standard!F48)</f>
        <v>0</v>
      </c>
    </row>
    <row r="32" spans="2:9" ht="12">
      <c r="B32" s="280"/>
      <c r="C32" s="4" t="s">
        <v>514</v>
      </c>
      <c r="I32" s="313">
        <f>SUM('calcolo U1 e U2'!D11)</f>
        <v>0</v>
      </c>
    </row>
    <row r="33" spans="2:9" ht="12">
      <c r="B33" s="280"/>
      <c r="C33" s="4" t="s">
        <v>515</v>
      </c>
      <c r="I33" s="313">
        <f>SUM('calcolo U1 e U2'!D12)</f>
        <v>0</v>
      </c>
    </row>
    <row r="34" spans="3:9" ht="12">
      <c r="C34" s="4" t="s">
        <v>511</v>
      </c>
      <c r="I34" s="313">
        <f>SUM('calcolo costo di costruzione-A-'!I19)</f>
        <v>5</v>
      </c>
    </row>
    <row r="35" spans="3:9" ht="12">
      <c r="C35" s="447" t="s">
        <v>510</v>
      </c>
      <c r="D35" s="447"/>
      <c r="E35" s="447"/>
      <c r="F35" s="447"/>
      <c r="G35" s="447"/>
      <c r="I35" s="313">
        <f>SUM(I30:I34)</f>
        <v>5</v>
      </c>
    </row>
    <row r="36" spans="3:9" ht="12">
      <c r="C36" s="317"/>
      <c r="D36" s="317"/>
      <c r="E36" s="317"/>
      <c r="F36" s="317"/>
      <c r="G36" s="317"/>
      <c r="I36" s="318"/>
    </row>
    <row r="38" spans="2:9" ht="12">
      <c r="B38" s="441" t="s">
        <v>679</v>
      </c>
      <c r="C38" s="441"/>
      <c r="D38" s="441"/>
      <c r="G38" s="441" t="s">
        <v>499</v>
      </c>
      <c r="H38" s="441"/>
      <c r="I38" s="441"/>
    </row>
    <row r="40" spans="2:9" ht="12">
      <c r="B40" s="281"/>
      <c r="C40" s="281"/>
      <c r="D40" s="281"/>
      <c r="G40" s="282"/>
      <c r="H40" s="282"/>
      <c r="I40" s="282"/>
    </row>
    <row r="41" spans="2:9" ht="12">
      <c r="B41" s="319"/>
      <c r="C41" s="319"/>
      <c r="D41" s="319"/>
      <c r="G41" s="283"/>
      <c r="H41" s="283"/>
      <c r="I41" s="283"/>
    </row>
    <row r="42" spans="2:9" ht="12">
      <c r="B42" s="319"/>
      <c r="C42" s="319"/>
      <c r="D42" s="319"/>
      <c r="G42" s="283"/>
      <c r="H42" s="283"/>
      <c r="I42" s="283"/>
    </row>
    <row r="43" spans="1:10" ht="12">
      <c r="A43" s="283"/>
      <c r="B43" s="283"/>
      <c r="C43" s="283"/>
      <c r="D43" s="283"/>
      <c r="E43" s="283"/>
      <c r="F43" s="283"/>
      <c r="G43" s="283"/>
      <c r="H43" s="283"/>
      <c r="I43" s="283"/>
      <c r="J43" s="283"/>
    </row>
    <row r="44" spans="1:10" ht="12">
      <c r="A44" s="283"/>
      <c r="B44" s="283"/>
      <c r="C44" s="283"/>
      <c r="D44" s="283"/>
      <c r="E44" s="283"/>
      <c r="F44" s="283"/>
      <c r="G44" s="283"/>
      <c r="H44" s="283"/>
      <c r="I44" s="283"/>
      <c r="J44" s="283"/>
    </row>
    <row r="45" spans="1:10" ht="12">
      <c r="A45" s="283"/>
      <c r="B45" s="283"/>
      <c r="C45" s="283"/>
      <c r="D45" s="283"/>
      <c r="E45" s="283"/>
      <c r="F45" s="283"/>
      <c r="G45" s="283"/>
      <c r="H45" s="283"/>
      <c r="I45" s="283"/>
      <c r="J45" s="283"/>
    </row>
    <row r="46" spans="1:10" ht="12">
      <c r="A46" s="283"/>
      <c r="B46" s="283"/>
      <c r="C46" s="321"/>
      <c r="D46" s="283"/>
      <c r="E46" s="283"/>
      <c r="F46" s="283"/>
      <c r="G46" s="283"/>
      <c r="H46" s="283"/>
      <c r="I46" s="283"/>
      <c r="J46" s="283"/>
    </row>
    <row r="47" spans="1:10" ht="12">
      <c r="A47" s="283"/>
      <c r="B47" s="283"/>
      <c r="C47" s="283"/>
      <c r="D47" s="283"/>
      <c r="E47" s="283"/>
      <c r="F47" s="283"/>
      <c r="G47" s="283"/>
      <c r="H47" s="283"/>
      <c r="I47" s="283"/>
      <c r="J47" s="283"/>
    </row>
    <row r="48" spans="1:10" ht="12">
      <c r="A48" s="283"/>
      <c r="B48" s="283"/>
      <c r="C48" s="283"/>
      <c r="D48" s="283"/>
      <c r="E48" s="283"/>
      <c r="F48" s="283"/>
      <c r="G48" s="283"/>
      <c r="H48" s="283"/>
      <c r="I48" s="283"/>
      <c r="J48" s="283"/>
    </row>
    <row r="49" spans="2:4" ht="12">
      <c r="B49" s="441"/>
      <c r="C49" s="441"/>
      <c r="D49" s="441"/>
    </row>
  </sheetData>
  <sheetProtection/>
  <mergeCells count="13">
    <mergeCell ref="B38:D38"/>
    <mergeCell ref="G38:I38"/>
    <mergeCell ref="B49:D49"/>
    <mergeCell ref="B24:G24"/>
    <mergeCell ref="B27:G27"/>
    <mergeCell ref="C35:G35"/>
    <mergeCell ref="B4:I4"/>
    <mergeCell ref="B16:I16"/>
    <mergeCell ref="B19:I19"/>
    <mergeCell ref="B7:E7"/>
    <mergeCell ref="G7:I7"/>
    <mergeCell ref="B10:I10"/>
    <mergeCell ref="B13:H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9" sqref="A9"/>
    </sheetView>
  </sheetViews>
  <sheetFormatPr defaultColWidth="9.140625" defaultRowHeight="12.75"/>
  <cols>
    <col min="2" max="2" width="10.00390625" style="0" bestFit="1" customWidth="1"/>
    <col min="3" max="3" width="9.28125" style="0" bestFit="1" customWidth="1"/>
    <col min="4" max="4" width="23.57421875" style="0" customWidth="1"/>
  </cols>
  <sheetData>
    <row r="1" spans="2:4" ht="12.75">
      <c r="B1" t="s">
        <v>185</v>
      </c>
      <c r="C1" t="s">
        <v>198</v>
      </c>
      <c r="D1" t="s">
        <v>199</v>
      </c>
    </row>
    <row r="2" spans="1:4" ht="12.75">
      <c r="A2" t="s">
        <v>75</v>
      </c>
      <c r="B2" s="99">
        <f>SUM('tabella A'!C3+'tabella B'!C3+'tabella C'!C3+'tabella D '!C3+'tabella E '!C3)</f>
        <v>25.478884659680727</v>
      </c>
      <c r="C2" s="101">
        <f>IF('zone convenzionate'!I10=100,100,'detrazioni U1 e U2'!K65)</f>
        <v>0</v>
      </c>
      <c r="D2" s="100">
        <f>0+Abaco!E55</f>
        <v>0</v>
      </c>
    </row>
    <row r="3" spans="1:3" ht="12.75">
      <c r="A3" t="s">
        <v>76</v>
      </c>
      <c r="B3" s="99">
        <f>SUM('tabella A'!C4+'tabella B'!C4+'tabella C'!C4+'tabella D '!C4+'tabella E '!C4)</f>
        <v>33.23968248229844</v>
      </c>
      <c r="C3" s="101">
        <f>IF('zone convenzionate'!J10=100,100,'detrazioni U1 e U2'!L65)</f>
        <v>0</v>
      </c>
    </row>
    <row r="5" spans="1:2" ht="12.75">
      <c r="A5">
        <f>IF('tabella A'!C3&gt;0,"RESIDENZIALE A4",0)</f>
        <v>0</v>
      </c>
      <c r="B5">
        <f>IF(A5=0,0,1)</f>
        <v>0</v>
      </c>
    </row>
    <row r="6" spans="1:2" ht="12.75">
      <c r="A6" t="str">
        <f>IF('tabella B'!C3&gt;0,"DIREZIONALE ARTIGIANALE ALTRO B4",0)</f>
        <v>DIREZIONALE ARTIGIANALE ALTRO B4</v>
      </c>
      <c r="B6">
        <f>IF(A6=0,0,2)</f>
        <v>2</v>
      </c>
    </row>
    <row r="7" spans="1:2" ht="12.75">
      <c r="A7">
        <f>IF('tabella C'!C3&gt;0,"PRODUTTIVO C4",0)</f>
        <v>0</v>
      </c>
      <c r="B7">
        <f>IF(A7=0,0,3)</f>
        <v>0</v>
      </c>
    </row>
    <row r="8" spans="1:2" ht="12.75">
      <c r="A8">
        <f>IF('tabella D '!C3&gt;0,"AGRICOLE esclusa la residenza D4",0)</f>
        <v>0</v>
      </c>
      <c r="B8">
        <f>IF(A8=0,0,4)</f>
        <v>0</v>
      </c>
    </row>
    <row r="9" spans="1:2" ht="12.75">
      <c r="A9">
        <f>IF('tabella E '!C3,"ALBERGHIERA E4",0)</f>
        <v>0</v>
      </c>
      <c r="B9">
        <f>IF(A9=0,0,5)</f>
        <v>0</v>
      </c>
    </row>
    <row r="10" spans="2:4" ht="12.75">
      <c r="B10">
        <f>SUM(B5:B9)</f>
        <v>2</v>
      </c>
      <c r="D10" s="137" t="str">
        <f>IF(B10=1,A5,IF(B10=2,A6,IF(B10=3,A7,IF(B10=4,A8,IF(B10=5,A9,"")))))</f>
        <v>DIREZIONALE ARTIGIANALE ALTRO B4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75" zoomScaleNormal="75" zoomScalePageLayoutView="0" workbookViewId="0" topLeftCell="A1">
      <selection activeCell="A1" sqref="A1:O2"/>
    </sheetView>
  </sheetViews>
  <sheetFormatPr defaultColWidth="9.140625" defaultRowHeight="12.75"/>
  <cols>
    <col min="1" max="1" width="25.8515625" style="272" customWidth="1"/>
    <col min="2" max="13" width="7.7109375" style="276" customWidth="1"/>
    <col min="14" max="14" width="7.7109375" style="272" customWidth="1"/>
    <col min="15" max="16384" width="9.140625" style="272" customWidth="1"/>
  </cols>
  <sheetData>
    <row r="1" spans="1:15" s="271" customFormat="1" ht="18.75">
      <c r="A1" s="377" t="s">
        <v>445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5" s="271" customFormat="1" ht="18.75">
      <c r="A2" s="376" t="s">
        <v>446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291"/>
    </row>
    <row r="3" spans="1:15" ht="83.25">
      <c r="A3" s="2" t="s">
        <v>447</v>
      </c>
      <c r="B3" s="292" t="s">
        <v>448</v>
      </c>
      <c r="C3" s="292" t="s">
        <v>449</v>
      </c>
      <c r="D3" s="292" t="s">
        <v>450</v>
      </c>
      <c r="E3" s="292" t="s">
        <v>451</v>
      </c>
      <c r="F3" s="292" t="s">
        <v>452</v>
      </c>
      <c r="G3" s="292" t="s">
        <v>453</v>
      </c>
      <c r="H3" s="292" t="s">
        <v>454</v>
      </c>
      <c r="I3" s="292" t="s">
        <v>455</v>
      </c>
      <c r="J3" s="292" t="s">
        <v>456</v>
      </c>
      <c r="K3" s="292" t="s">
        <v>459</v>
      </c>
      <c r="L3" s="292" t="s">
        <v>461</v>
      </c>
      <c r="M3" s="292" t="s">
        <v>457</v>
      </c>
      <c r="N3" s="292" t="s">
        <v>458</v>
      </c>
      <c r="O3" s="292" t="s">
        <v>460</v>
      </c>
    </row>
    <row r="4" spans="1:15" ht="33.75">
      <c r="A4" s="2"/>
      <c r="B4" s="292" t="s">
        <v>462</v>
      </c>
      <c r="C4" s="292" t="s">
        <v>462</v>
      </c>
      <c r="D4" s="292" t="s">
        <v>462</v>
      </c>
      <c r="E4" s="292" t="s">
        <v>462</v>
      </c>
      <c r="F4" s="292" t="s">
        <v>462</v>
      </c>
      <c r="G4" s="292" t="s">
        <v>462</v>
      </c>
      <c r="H4" s="292" t="s">
        <v>462</v>
      </c>
      <c r="I4" s="292" t="s">
        <v>462</v>
      </c>
      <c r="J4" s="292" t="s">
        <v>462</v>
      </c>
      <c r="K4" s="292" t="s">
        <v>462</v>
      </c>
      <c r="L4" s="292" t="s">
        <v>462</v>
      </c>
      <c r="M4" s="292" t="s">
        <v>462</v>
      </c>
      <c r="N4" s="292" t="s">
        <v>462</v>
      </c>
      <c r="O4" s="292" t="s">
        <v>462</v>
      </c>
    </row>
    <row r="5" spans="1:15" ht="12.75">
      <c r="A5" s="293" t="s">
        <v>463</v>
      </c>
      <c r="B5" s="295">
        <v>17.450458871954844</v>
      </c>
      <c r="C5" s="295">
        <v>56.71399133385323</v>
      </c>
      <c r="D5" s="295">
        <v>23.99438094893791</v>
      </c>
      <c r="E5" s="295">
        <v>21.81307358994355</v>
      </c>
      <c r="F5" s="295">
        <v>21.81307358994355</v>
      </c>
      <c r="G5" s="295">
        <v>39.26353246189839</v>
      </c>
      <c r="H5" s="295">
        <v>20.995083330320668</v>
      </c>
      <c r="I5" s="295">
        <v>34.90091774390969</v>
      </c>
      <c r="J5" s="295">
        <v>23.99438094893791</v>
      </c>
      <c r="K5" s="295">
        <v>23.99438094893791</v>
      </c>
      <c r="L5" s="295">
        <v>23.99438094893791</v>
      </c>
      <c r="M5" s="295">
        <v>39.26353246189839</v>
      </c>
      <c r="N5" s="296">
        <v>17.450458871954844</v>
      </c>
      <c r="O5" s="296">
        <v>39.26353246189839</v>
      </c>
    </row>
    <row r="6" spans="1:15" ht="12.75">
      <c r="A6" s="293" t="s">
        <v>464</v>
      </c>
      <c r="B6" s="295">
        <v>19.631766230949196</v>
      </c>
      <c r="C6" s="295">
        <v>95.97752379575164</v>
      </c>
      <c r="D6" s="295">
        <v>26.175688307932262</v>
      </c>
      <c r="E6" s="295">
        <v>23.99438094893791</v>
      </c>
      <c r="F6" s="295">
        <v>23.99438094893791</v>
      </c>
      <c r="G6" s="295">
        <v>43.6261471798871</v>
      </c>
      <c r="H6" s="295">
        <v>22.90372726944073</v>
      </c>
      <c r="I6" s="295">
        <v>39.26353246189839</v>
      </c>
      <c r="J6" s="295">
        <v>26.175688307932262</v>
      </c>
      <c r="K6" s="295">
        <v>26.175688307932262</v>
      </c>
      <c r="L6" s="295">
        <v>26.175688307932262</v>
      </c>
      <c r="M6" s="295">
        <v>43.6261471798871</v>
      </c>
      <c r="N6" s="296">
        <v>19.631766230949196</v>
      </c>
      <c r="O6" s="296">
        <v>43.6261471798871</v>
      </c>
    </row>
    <row r="7" spans="1:15" ht="12.75">
      <c r="A7" s="293" t="s">
        <v>465</v>
      </c>
      <c r="B7" s="295">
        <v>6.5439220769830655</v>
      </c>
      <c r="C7" s="295">
        <v>10.906536794971775</v>
      </c>
      <c r="D7" s="295">
        <v>6.5439220769830655</v>
      </c>
      <c r="E7" s="295">
        <v>6.5439220769830655</v>
      </c>
      <c r="F7" s="295">
        <v>6.5439220769830655</v>
      </c>
      <c r="G7" s="295">
        <v>8.725229435977422</v>
      </c>
      <c r="H7" s="295">
        <v>5.725931817360182</v>
      </c>
      <c r="I7" s="295">
        <v>8.725229435977422</v>
      </c>
      <c r="J7" s="295">
        <v>6.5439220769830655</v>
      </c>
      <c r="K7" s="295">
        <v>6.5439220769830655</v>
      </c>
      <c r="L7" s="295">
        <v>8.725229435977422</v>
      </c>
      <c r="M7" s="295">
        <v>8.725229435977422</v>
      </c>
      <c r="N7" s="296">
        <v>6.5439220769830655</v>
      </c>
      <c r="O7" s="296">
        <v>10.906536794971775</v>
      </c>
    </row>
    <row r="8" spans="1:15" ht="12.75">
      <c r="A8" s="293" t="s">
        <v>466</v>
      </c>
      <c r="B8" s="295">
        <v>4.362614717988711</v>
      </c>
      <c r="C8" s="295">
        <v>15.269151512960486</v>
      </c>
      <c r="D8" s="295">
        <v>7.852706492379679</v>
      </c>
      <c r="E8" s="295">
        <v>6.5439220769830655</v>
      </c>
      <c r="F8" s="295">
        <v>6.5439220769830655</v>
      </c>
      <c r="G8" s="295">
        <v>10.906536794971775</v>
      </c>
      <c r="H8" s="295">
        <v>6.8711181808322195</v>
      </c>
      <c r="I8" s="295">
        <v>8.725229435977422</v>
      </c>
      <c r="J8" s="295">
        <v>7.852706492379679</v>
      </c>
      <c r="K8" s="295">
        <v>7.852706492379679</v>
      </c>
      <c r="L8" s="295">
        <v>7.852706492379679</v>
      </c>
      <c r="M8" s="295">
        <v>10.906536794971775</v>
      </c>
      <c r="N8" s="296">
        <v>4.362614717988711</v>
      </c>
      <c r="O8" s="296">
        <v>8.725229435977422</v>
      </c>
    </row>
    <row r="9" spans="1:15" ht="12.75">
      <c r="A9" s="293" t="s">
        <v>467</v>
      </c>
      <c r="B9" s="295">
        <v>21.81307358994355</v>
      </c>
      <c r="C9" s="295">
        <v>69.80183548781937</v>
      </c>
      <c r="D9" s="295">
        <v>30.53830302592097</v>
      </c>
      <c r="E9" s="295">
        <v>26.175688307932262</v>
      </c>
      <c r="F9" s="295">
        <v>26.175688307932262</v>
      </c>
      <c r="G9" s="295">
        <v>50.17006925687017</v>
      </c>
      <c r="H9" s="295">
        <v>26.72101514768085</v>
      </c>
      <c r="I9" s="295">
        <v>43.6261471798871</v>
      </c>
      <c r="J9" s="295">
        <v>28.356995666926615</v>
      </c>
      <c r="K9" s="295">
        <v>30.53830302592097</v>
      </c>
      <c r="L9" s="295">
        <v>30.53830302592097</v>
      </c>
      <c r="M9" s="295">
        <v>50.17006925687017</v>
      </c>
      <c r="N9" s="296">
        <v>21.81307358994355</v>
      </c>
      <c r="O9" s="296">
        <v>43.6261471798871</v>
      </c>
    </row>
    <row r="10" spans="1:15" ht="12.75">
      <c r="A10" s="293" t="s">
        <v>468</v>
      </c>
      <c r="B10" s="295">
        <v>8.725229435977422</v>
      </c>
      <c r="C10" s="295">
        <v>30.53830302592097</v>
      </c>
      <c r="D10" s="295">
        <v>15.269151512960486</v>
      </c>
      <c r="E10" s="295">
        <v>13.087844153966131</v>
      </c>
      <c r="F10" s="295">
        <v>13.087844153966131</v>
      </c>
      <c r="G10" s="295">
        <v>21.81307358994355</v>
      </c>
      <c r="H10" s="295">
        <v>13.360507573840424</v>
      </c>
      <c r="I10" s="295">
        <v>17.450458871954844</v>
      </c>
      <c r="J10" s="295">
        <v>15.269151512960486</v>
      </c>
      <c r="K10" s="295">
        <v>15.269151512960486</v>
      </c>
      <c r="L10" s="295">
        <v>15.269151512960486</v>
      </c>
      <c r="M10" s="295">
        <v>21.81307358994355</v>
      </c>
      <c r="N10" s="296">
        <v>8.725229435977422</v>
      </c>
      <c r="O10" s="296">
        <v>17.450458871954844</v>
      </c>
    </row>
    <row r="11" spans="1:15" ht="12.75">
      <c r="A11" s="293" t="s">
        <v>469</v>
      </c>
      <c r="B11" s="295">
        <v>10.906536794971775</v>
      </c>
      <c r="C11" s="295">
        <v>30.53830302592097</v>
      </c>
      <c r="D11" s="295">
        <v>15.269151512960486</v>
      </c>
      <c r="E11" s="295">
        <v>13.087844153966131</v>
      </c>
      <c r="F11" s="295">
        <v>13.087844153966131</v>
      </c>
      <c r="G11" s="295">
        <v>21.81307358994355</v>
      </c>
      <c r="H11" s="295">
        <v>13.360507573840424</v>
      </c>
      <c r="I11" s="295">
        <v>17.450458871954844</v>
      </c>
      <c r="J11" s="295">
        <v>15.269151512960486</v>
      </c>
      <c r="K11" s="295">
        <v>15.269151512960486</v>
      </c>
      <c r="L11" s="295">
        <v>15.269151512960486</v>
      </c>
      <c r="M11" s="295">
        <v>21.81307358994355</v>
      </c>
      <c r="N11" s="296">
        <v>8.725229435977422</v>
      </c>
      <c r="O11" s="296">
        <v>17.450458871954844</v>
      </c>
    </row>
    <row r="12" spans="1:15" ht="12.75">
      <c r="A12" s="293" t="s">
        <v>470</v>
      </c>
      <c r="B12" s="295">
        <v>13.087844153966131</v>
      </c>
      <c r="C12" s="295">
        <v>34.90091774390969</v>
      </c>
      <c r="D12" s="295">
        <v>15.269151512960486</v>
      </c>
      <c r="E12" s="295">
        <v>13.087844153966131</v>
      </c>
      <c r="F12" s="295">
        <v>15.269151512960486</v>
      </c>
      <c r="G12" s="295">
        <v>21.81307358994355</v>
      </c>
      <c r="H12" s="295">
        <v>13.360507573840424</v>
      </c>
      <c r="I12" s="295">
        <v>19.631766230949196</v>
      </c>
      <c r="J12" s="295">
        <v>15.269151512960486</v>
      </c>
      <c r="K12" s="295">
        <v>17.450458871954844</v>
      </c>
      <c r="L12" s="295">
        <v>17.450458871954844</v>
      </c>
      <c r="M12" s="295">
        <v>19.631766230949196</v>
      </c>
      <c r="N12" s="296">
        <v>13.087844153966131</v>
      </c>
      <c r="O12" s="296">
        <v>19.631766230949196</v>
      </c>
    </row>
    <row r="13" spans="1:15" ht="12.75">
      <c r="A13" s="293" t="s">
        <v>471</v>
      </c>
      <c r="B13" s="295">
        <v>15.269151512960486</v>
      </c>
      <c r="C13" s="295">
        <v>39.26353246189839</v>
      </c>
      <c r="D13" s="295">
        <v>17.450458871954844</v>
      </c>
      <c r="E13" s="295">
        <v>15.269151512960486</v>
      </c>
      <c r="F13" s="295">
        <v>17.450458871954844</v>
      </c>
      <c r="G13" s="295">
        <v>26.175688307932262</v>
      </c>
      <c r="H13" s="295">
        <v>15.269151512960487</v>
      </c>
      <c r="I13" s="295">
        <v>23.99438094893791</v>
      </c>
      <c r="J13" s="295">
        <v>17.450458871954844</v>
      </c>
      <c r="K13" s="295">
        <v>19.631766230949196</v>
      </c>
      <c r="L13" s="295">
        <v>19.631766230949196</v>
      </c>
      <c r="M13" s="295">
        <v>23.99438094893791</v>
      </c>
      <c r="N13" s="296">
        <v>15.269151512960486</v>
      </c>
      <c r="O13" s="296">
        <v>23.99438094893791</v>
      </c>
    </row>
    <row r="14" spans="1:15" ht="12.75">
      <c r="A14" s="293" t="s">
        <v>472</v>
      </c>
      <c r="B14" s="295">
        <v>3.053830302592097</v>
      </c>
      <c r="C14" s="295">
        <v>8.725229435977422</v>
      </c>
      <c r="D14" s="295">
        <v>5.671399133385323</v>
      </c>
      <c r="E14" s="295">
        <v>4.362614717988711</v>
      </c>
      <c r="F14" s="295">
        <v>4.362614717988711</v>
      </c>
      <c r="G14" s="295">
        <v>7.852706492379679</v>
      </c>
      <c r="H14" s="295">
        <v>4.962474241712158</v>
      </c>
      <c r="I14" s="295">
        <v>6.107660605184194</v>
      </c>
      <c r="J14" s="295">
        <v>5.671399133385323</v>
      </c>
      <c r="K14" s="295">
        <v>5.671399133385323</v>
      </c>
      <c r="L14" s="295">
        <v>5.671399133385323</v>
      </c>
      <c r="M14" s="295">
        <v>7.852706492379679</v>
      </c>
      <c r="N14" s="296">
        <v>3.053830302592097</v>
      </c>
      <c r="O14" s="296">
        <v>6.107660605184194</v>
      </c>
    </row>
    <row r="15" spans="1:15" s="273" customFormat="1" ht="12.75">
      <c r="A15" s="294" t="s">
        <v>473</v>
      </c>
      <c r="B15" s="295">
        <v>13.087844153966131</v>
      </c>
      <c r="C15" s="295" t="s">
        <v>474</v>
      </c>
      <c r="D15" s="295">
        <v>15.2</v>
      </c>
      <c r="E15" s="295">
        <v>13.087844153966131</v>
      </c>
      <c r="F15" s="295">
        <v>15.269151512960486</v>
      </c>
      <c r="G15" s="295">
        <v>21.81307358994355</v>
      </c>
      <c r="H15" s="295">
        <v>13.360507573840424</v>
      </c>
      <c r="I15" s="295">
        <v>19.631766230949196</v>
      </c>
      <c r="J15" s="295">
        <v>15.269151512960486</v>
      </c>
      <c r="K15" s="295">
        <v>17.450458871954844</v>
      </c>
      <c r="L15" s="295">
        <v>17.450458871954844</v>
      </c>
      <c r="M15" s="295">
        <v>19.631766230949196</v>
      </c>
      <c r="N15" s="296">
        <v>13.087844153966131</v>
      </c>
      <c r="O15" s="296">
        <v>19.631766230949196</v>
      </c>
    </row>
    <row r="16" spans="1:15" s="273" customFormat="1" ht="12.75">
      <c r="A16" s="294" t="s">
        <v>475</v>
      </c>
      <c r="B16" s="295">
        <v>13.087844153966131</v>
      </c>
      <c r="C16" s="295">
        <v>32.71961038491533</v>
      </c>
      <c r="D16" s="295">
        <v>15.2</v>
      </c>
      <c r="E16" s="295">
        <v>13.087844153966131</v>
      </c>
      <c r="F16" s="295">
        <v>15.269151512960486</v>
      </c>
      <c r="G16" s="295">
        <v>21.81307358994355</v>
      </c>
      <c r="H16" s="295">
        <v>13.360507573840424</v>
      </c>
      <c r="I16" s="295">
        <v>19.631766230949196</v>
      </c>
      <c r="J16" s="295">
        <v>15.269151512960486</v>
      </c>
      <c r="K16" s="295">
        <v>17.450458871954844</v>
      </c>
      <c r="L16" s="295">
        <v>17.450458871954844</v>
      </c>
      <c r="M16" s="295">
        <v>19.631766230949196</v>
      </c>
      <c r="N16" s="296">
        <v>13.087844153966131</v>
      </c>
      <c r="O16" s="296">
        <v>19.631766230949196</v>
      </c>
    </row>
    <row r="17" spans="1:15" ht="12.75">
      <c r="A17" s="293" t="s">
        <v>476</v>
      </c>
      <c r="B17" s="295">
        <v>10.906536794971775</v>
      </c>
      <c r="C17" s="295">
        <v>30.53830302592097</v>
      </c>
      <c r="D17" s="295">
        <v>13.087844153966131</v>
      </c>
      <c r="E17" s="295">
        <v>10.906536794971775</v>
      </c>
      <c r="F17" s="295">
        <v>13.087844153966131</v>
      </c>
      <c r="G17" s="295">
        <v>17.450458871954844</v>
      </c>
      <c r="H17" s="295">
        <v>11.451863634720365</v>
      </c>
      <c r="I17" s="295">
        <v>17.450458871954844</v>
      </c>
      <c r="J17" s="295">
        <v>13.087844153966131</v>
      </c>
      <c r="K17" s="295">
        <v>15.269151512960486</v>
      </c>
      <c r="L17" s="295">
        <v>15.269151512960486</v>
      </c>
      <c r="M17" s="295">
        <v>17.450458871954844</v>
      </c>
      <c r="N17" s="296">
        <v>10.906536794971775</v>
      </c>
      <c r="O17" s="296">
        <v>17.450458871954844</v>
      </c>
    </row>
    <row r="18" spans="1:15" ht="12.75">
      <c r="A18" s="293" t="s">
        <v>477</v>
      </c>
      <c r="B18" s="295">
        <v>2.1813073589943555</v>
      </c>
      <c r="C18" s="295">
        <v>2.1813073589943555</v>
      </c>
      <c r="D18" s="295">
        <v>2.1813073589943555</v>
      </c>
      <c r="E18" s="295">
        <v>2.1813073589943555</v>
      </c>
      <c r="F18" s="295">
        <v>2.1813073589943555</v>
      </c>
      <c r="G18" s="295">
        <v>2.1813073589943555</v>
      </c>
      <c r="H18" s="295">
        <v>1.908643939120061</v>
      </c>
      <c r="I18" s="295">
        <v>2.1813073589943555</v>
      </c>
      <c r="J18" s="295">
        <v>2.1813073589943555</v>
      </c>
      <c r="K18" s="295">
        <v>2.1813073589943555</v>
      </c>
      <c r="L18" s="295">
        <v>2.1813073589943555</v>
      </c>
      <c r="M18" s="295">
        <v>2.1813073589943555</v>
      </c>
      <c r="N18" s="296">
        <v>2.1813073589943555</v>
      </c>
      <c r="O18" s="296">
        <v>2.1813073589943555</v>
      </c>
    </row>
    <row r="19" spans="1:15" ht="12.75">
      <c r="A19" s="293" t="s">
        <v>478</v>
      </c>
      <c r="B19" s="295">
        <v>4.362614717988711</v>
      </c>
      <c r="C19" s="295">
        <v>4.362614717988711</v>
      </c>
      <c r="D19" s="295">
        <v>4.362614717988711</v>
      </c>
      <c r="E19" s="295">
        <v>4.362614717988711</v>
      </c>
      <c r="F19" s="295">
        <v>4.362614717988711</v>
      </c>
      <c r="G19" s="295">
        <v>4.362614717988711</v>
      </c>
      <c r="H19" s="295">
        <v>3.817287878240122</v>
      </c>
      <c r="I19" s="295">
        <v>4.362614717988711</v>
      </c>
      <c r="J19" s="295">
        <v>4.362614717988711</v>
      </c>
      <c r="K19" s="295">
        <v>4.362614717988711</v>
      </c>
      <c r="L19" s="295">
        <v>4.362614717988711</v>
      </c>
      <c r="M19" s="295">
        <v>4.362614717988711</v>
      </c>
      <c r="N19" s="296">
        <v>4.362614717988711</v>
      </c>
      <c r="O19" s="296">
        <v>4.362614717988711</v>
      </c>
    </row>
    <row r="20" spans="1:15" ht="12.75">
      <c r="A20" s="293" t="s">
        <v>479</v>
      </c>
      <c r="B20" s="295">
        <v>8.725229435977422</v>
      </c>
      <c r="C20" s="295">
        <v>23.99438094893791</v>
      </c>
      <c r="D20" s="295">
        <v>10.906536794971775</v>
      </c>
      <c r="E20" s="295">
        <v>8.725229435977422</v>
      </c>
      <c r="F20" s="295">
        <v>10.906536794971775</v>
      </c>
      <c r="G20" s="295">
        <v>15.269151512960486</v>
      </c>
      <c r="H20" s="295">
        <v>9.543219695600303</v>
      </c>
      <c r="I20" s="295">
        <v>15.269151512960486</v>
      </c>
      <c r="J20" s="295">
        <v>10.906536794971775</v>
      </c>
      <c r="K20" s="295">
        <v>13.087844153966131</v>
      </c>
      <c r="L20" s="295">
        <v>13.087844153966131</v>
      </c>
      <c r="M20" s="295">
        <v>15.269151512960486</v>
      </c>
      <c r="N20" s="296">
        <v>8.725229435977422</v>
      </c>
      <c r="O20" s="296">
        <v>15.269151512960486</v>
      </c>
    </row>
    <row r="21" spans="1:15" ht="12.75">
      <c r="A21" s="293" t="s">
        <v>480</v>
      </c>
      <c r="B21" s="295">
        <v>3.4900917743909687</v>
      </c>
      <c r="C21" s="295">
        <v>3.4900917743909687</v>
      </c>
      <c r="D21" s="295">
        <v>3.4900917743909687</v>
      </c>
      <c r="E21" s="295">
        <v>3.4900917743909687</v>
      </c>
      <c r="F21" s="295">
        <v>3.4900917743909687</v>
      </c>
      <c r="G21" s="295">
        <v>3.4900917743909687</v>
      </c>
      <c r="H21" s="295">
        <v>3.0538303025920976</v>
      </c>
      <c r="I21" s="295">
        <v>3.4900917743909687</v>
      </c>
      <c r="J21" s="295">
        <v>3.4900917743909687</v>
      </c>
      <c r="K21" s="295">
        <v>3.4900917743909687</v>
      </c>
      <c r="L21" s="295">
        <v>3.4900917743909687</v>
      </c>
      <c r="M21" s="295">
        <v>3.4900917743909687</v>
      </c>
      <c r="N21" s="296">
        <v>3.4900917743909687</v>
      </c>
      <c r="O21" s="296">
        <v>3.4900917743909687</v>
      </c>
    </row>
    <row r="22" spans="1:15" ht="12.75">
      <c r="A22" s="293" t="s">
        <v>481</v>
      </c>
      <c r="B22" s="295">
        <v>2.1813073589943555</v>
      </c>
      <c r="C22" s="295">
        <v>2.1813073589943555</v>
      </c>
      <c r="D22" s="295">
        <v>2.1813073589943555</v>
      </c>
      <c r="E22" s="295">
        <v>2.1813073589943555</v>
      </c>
      <c r="F22" s="295">
        <v>2.1813073589943555</v>
      </c>
      <c r="G22" s="295">
        <v>2.1813073589943555</v>
      </c>
      <c r="H22" s="295">
        <v>1.908643939120061</v>
      </c>
      <c r="I22" s="295">
        <v>2.1813073589943555</v>
      </c>
      <c r="J22" s="295">
        <v>2.1813073589943555</v>
      </c>
      <c r="K22" s="295">
        <v>2.1813073589943555</v>
      </c>
      <c r="L22" s="295">
        <v>2.1813073589943555</v>
      </c>
      <c r="M22" s="295">
        <v>2.1813073589943555</v>
      </c>
      <c r="N22" s="296">
        <v>2.1813073589943555</v>
      </c>
      <c r="O22" s="296">
        <v>2.1813073589943555</v>
      </c>
    </row>
    <row r="23" spans="1:15" ht="12.75">
      <c r="A23" s="293" t="s">
        <v>482</v>
      </c>
      <c r="B23" s="295">
        <v>2.1813073589943555</v>
      </c>
      <c r="C23" s="295">
        <v>2.1813073589943555</v>
      </c>
      <c r="D23" s="295">
        <v>2.1813073589943555</v>
      </c>
      <c r="E23" s="295">
        <v>2.1813073589943555</v>
      </c>
      <c r="F23" s="295">
        <v>2.1813073589943555</v>
      </c>
      <c r="G23" s="295">
        <v>2.1813073589943555</v>
      </c>
      <c r="H23" s="295">
        <v>1.908643939120061</v>
      </c>
      <c r="I23" s="295">
        <v>2.1813073589943555</v>
      </c>
      <c r="J23" s="295">
        <v>2.1813073589943555</v>
      </c>
      <c r="K23" s="295">
        <v>2.1813073589943555</v>
      </c>
      <c r="L23" s="295">
        <v>2.1813073589943555</v>
      </c>
      <c r="M23" s="295">
        <v>2.1813073589943555</v>
      </c>
      <c r="N23" s="296">
        <v>2.1813073589943555</v>
      </c>
      <c r="O23" s="296">
        <v>2.1813073589943555</v>
      </c>
    </row>
    <row r="24" spans="1:15" ht="12.75">
      <c r="A24" s="293" t="s">
        <v>483</v>
      </c>
      <c r="B24" s="295">
        <v>3.4900917743909687</v>
      </c>
      <c r="C24" s="295">
        <v>3.4900917743909687</v>
      </c>
      <c r="D24" s="295">
        <v>3.4900917743909687</v>
      </c>
      <c r="E24" s="295">
        <v>3.4900917743909687</v>
      </c>
      <c r="F24" s="295">
        <v>3.4900917743909687</v>
      </c>
      <c r="G24" s="295">
        <v>3.4900917743909687</v>
      </c>
      <c r="H24" s="295">
        <v>3.0538303025920976</v>
      </c>
      <c r="I24" s="295">
        <v>3.4900917743909687</v>
      </c>
      <c r="J24" s="295">
        <v>3.4900917743909687</v>
      </c>
      <c r="K24" s="295">
        <v>3.4900917743909687</v>
      </c>
      <c r="L24" s="295">
        <v>3.4900917743909687</v>
      </c>
      <c r="M24" s="295">
        <v>3.4900917743909687</v>
      </c>
      <c r="N24" s="296">
        <v>3.4900917743909687</v>
      </c>
      <c r="O24" s="296">
        <v>3.4900917743909687</v>
      </c>
    </row>
    <row r="25" spans="1:15" ht="12.75">
      <c r="A25" s="293" t="s">
        <v>484</v>
      </c>
      <c r="B25" s="295">
        <v>0</v>
      </c>
      <c r="C25" s="295">
        <v>0</v>
      </c>
      <c r="D25" s="295">
        <v>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6">
        <v>0</v>
      </c>
      <c r="O25" s="296">
        <v>0</v>
      </c>
    </row>
    <row r="26" spans="1:15" ht="12.75">
      <c r="A26" s="293" t="s">
        <v>485</v>
      </c>
      <c r="B26" s="295">
        <v>13.087844153966131</v>
      </c>
      <c r="C26" s="295">
        <v>32.71961038491533</v>
      </c>
      <c r="D26" s="295">
        <v>15.269151512960486</v>
      </c>
      <c r="E26" s="295">
        <v>13.087844153966131</v>
      </c>
      <c r="F26" s="295">
        <v>15.269151512960486</v>
      </c>
      <c r="G26" s="295">
        <v>21.81307358994355</v>
      </c>
      <c r="H26" s="295">
        <v>13.360507573840424</v>
      </c>
      <c r="I26" s="295">
        <v>19.631766230949196</v>
      </c>
      <c r="J26" s="295">
        <v>15.269151512960486</v>
      </c>
      <c r="K26" s="295">
        <v>17.450458871954844</v>
      </c>
      <c r="L26" s="295">
        <v>17.450458871954844</v>
      </c>
      <c r="M26" s="295">
        <v>19.631766230949196</v>
      </c>
      <c r="N26" s="296">
        <v>13.087844153966131</v>
      </c>
      <c r="O26" s="296">
        <v>19.631766230949196</v>
      </c>
    </row>
    <row r="27" spans="1:15" ht="12.75">
      <c r="A27" s="293" t="s">
        <v>486</v>
      </c>
      <c r="B27" s="295">
        <v>6.5439220769830655</v>
      </c>
      <c r="C27" s="295">
        <v>16.5779359283571</v>
      </c>
      <c r="D27" s="295">
        <v>7.852706492379679</v>
      </c>
      <c r="E27" s="295">
        <v>6.5439220769830655</v>
      </c>
      <c r="F27" s="295">
        <v>7.852706492379679</v>
      </c>
      <c r="G27" s="295">
        <v>10.906536794971775</v>
      </c>
      <c r="H27" s="295">
        <v>6.8711181808322195</v>
      </c>
      <c r="I27" s="295">
        <v>10.034013851374034</v>
      </c>
      <c r="J27" s="295">
        <v>7.852706492379679</v>
      </c>
      <c r="K27" s="295">
        <v>8.725229435977422</v>
      </c>
      <c r="L27" s="295">
        <v>8.725229435977422</v>
      </c>
      <c r="M27" s="295">
        <v>10.034013851374034</v>
      </c>
      <c r="N27" s="296">
        <v>6.5439220769830655</v>
      </c>
      <c r="O27" s="296">
        <v>10.034013851374034</v>
      </c>
    </row>
    <row r="28" spans="1:15" ht="12.75">
      <c r="A28" s="293" t="s">
        <v>487</v>
      </c>
      <c r="B28" s="295">
        <v>2.617568830793226</v>
      </c>
      <c r="C28" s="295">
        <v>2.617568830793226</v>
      </c>
      <c r="D28" s="295">
        <v>2.617568830793226</v>
      </c>
      <c r="E28" s="295">
        <v>2.617568830793226</v>
      </c>
      <c r="F28" s="295">
        <v>2.617568830793226</v>
      </c>
      <c r="G28" s="295">
        <v>2.617568830793226</v>
      </c>
      <c r="H28" s="295">
        <v>2.290372726944073</v>
      </c>
      <c r="I28" s="295">
        <v>2.617568830793226</v>
      </c>
      <c r="J28" s="295">
        <v>2.617568830793226</v>
      </c>
      <c r="K28" s="295">
        <v>2.617568830793226</v>
      </c>
      <c r="L28" s="295">
        <v>2.617568830793226</v>
      </c>
      <c r="M28" s="295">
        <v>2.617568830793226</v>
      </c>
      <c r="N28" s="296">
        <v>2.617568830793226</v>
      </c>
      <c r="O28" s="296">
        <v>2.617568830793226</v>
      </c>
    </row>
    <row r="29" spans="1:15" ht="12.75">
      <c r="A29" s="293" t="s">
        <v>488</v>
      </c>
      <c r="B29" s="295">
        <v>4.362614717988711</v>
      </c>
      <c r="C29" s="295">
        <v>10.906536794971775</v>
      </c>
      <c r="D29" s="295">
        <v>5.235137661586452</v>
      </c>
      <c r="E29" s="295">
        <v>4.362614717988711</v>
      </c>
      <c r="F29" s="295">
        <v>5.235137661586452</v>
      </c>
      <c r="G29" s="295">
        <v>7.852706492379679</v>
      </c>
      <c r="H29" s="295">
        <v>4.580745453888146</v>
      </c>
      <c r="I29" s="295">
        <v>6.5439220769830655</v>
      </c>
      <c r="J29" s="295">
        <v>5.235137661586452</v>
      </c>
      <c r="K29" s="295">
        <v>6.107660605184194</v>
      </c>
      <c r="L29" s="295">
        <v>6.107660605184194</v>
      </c>
      <c r="M29" s="295">
        <v>6.5439220769830655</v>
      </c>
      <c r="N29" s="296">
        <v>4.362614717988711</v>
      </c>
      <c r="O29" s="296">
        <v>6.5439220769830655</v>
      </c>
    </row>
    <row r="30" spans="1:15" ht="12.75">
      <c r="A30" s="293" t="s">
        <v>489</v>
      </c>
      <c r="B30" s="295">
        <v>2.1813073589943555</v>
      </c>
      <c r="C30" s="295">
        <v>2.1813073589943555</v>
      </c>
      <c r="D30" s="295">
        <v>2.1813073589943555</v>
      </c>
      <c r="E30" s="295">
        <v>2.1813073589943555</v>
      </c>
      <c r="F30" s="295">
        <v>2.1813073589943555</v>
      </c>
      <c r="G30" s="295">
        <v>2.1813073589943555</v>
      </c>
      <c r="H30" s="295">
        <v>1.908643939120061</v>
      </c>
      <c r="I30" s="295">
        <v>2.1813073589943555</v>
      </c>
      <c r="J30" s="295">
        <v>2.1813073589943555</v>
      </c>
      <c r="K30" s="295">
        <v>2.1813073589943555</v>
      </c>
      <c r="L30" s="295">
        <v>2.1813073589943555</v>
      </c>
      <c r="M30" s="295">
        <v>2.1813073589943555</v>
      </c>
      <c r="N30" s="296">
        <v>2.1813073589943555</v>
      </c>
      <c r="O30" s="296">
        <v>2.1813073589943555</v>
      </c>
    </row>
    <row r="31" spans="1:15" ht="12.75">
      <c r="A31" s="293" t="s">
        <v>490</v>
      </c>
      <c r="B31" s="295" t="s">
        <v>491</v>
      </c>
      <c r="C31" s="295">
        <v>61.07660605184194</v>
      </c>
      <c r="D31" s="295">
        <v>36.64596363110517</v>
      </c>
      <c r="E31" s="295" t="s">
        <v>491</v>
      </c>
      <c r="F31" s="295" t="s">
        <v>491</v>
      </c>
      <c r="G31" s="295">
        <v>36.64596363110517</v>
      </c>
      <c r="H31" s="295">
        <v>34.7373196919851</v>
      </c>
      <c r="I31" s="295">
        <v>39.69979393369726</v>
      </c>
      <c r="J31" s="295">
        <v>36.64596363110517</v>
      </c>
      <c r="K31" s="295">
        <v>36.64596363110517</v>
      </c>
      <c r="L31" s="295">
        <v>36.64596363110517</v>
      </c>
      <c r="M31" s="295" t="s">
        <v>491</v>
      </c>
      <c r="N31" s="296" t="s">
        <v>491</v>
      </c>
      <c r="O31" s="296" t="s">
        <v>491</v>
      </c>
    </row>
    <row r="32" spans="1:15" ht="12.75">
      <c r="A32" s="293" t="s">
        <v>492</v>
      </c>
      <c r="B32" s="295">
        <v>4.362614717988711</v>
      </c>
      <c r="C32" s="295">
        <v>10.906536794971775</v>
      </c>
      <c r="D32" s="295">
        <v>6.5439220769830655</v>
      </c>
      <c r="E32" s="295">
        <v>4.362614717988711</v>
      </c>
      <c r="F32" s="295">
        <v>4.362614717988711</v>
      </c>
      <c r="G32" s="295">
        <v>8.725229435977422</v>
      </c>
      <c r="H32" s="295">
        <v>5.725931817360182</v>
      </c>
      <c r="I32" s="295">
        <v>7.852706492379679</v>
      </c>
      <c r="J32" s="295">
        <v>6.5439220769830655</v>
      </c>
      <c r="K32" s="295">
        <v>6.5439220769830655</v>
      </c>
      <c r="L32" s="295">
        <v>6.5439220769830655</v>
      </c>
      <c r="M32" s="295">
        <v>8.725229435977422</v>
      </c>
      <c r="N32" s="296">
        <v>4.362614717988711</v>
      </c>
      <c r="O32" s="296">
        <v>8.725229435977422</v>
      </c>
    </row>
    <row r="33" spans="1:15" ht="12.75">
      <c r="A33" s="293" t="s">
        <v>493</v>
      </c>
      <c r="B33" s="295">
        <v>2.1813073589943555</v>
      </c>
      <c r="C33" s="295">
        <v>6.5439220769830655</v>
      </c>
      <c r="D33" s="295">
        <v>2.1813073589943555</v>
      </c>
      <c r="E33" s="295">
        <v>2.1813073589943555</v>
      </c>
      <c r="F33" s="295">
        <v>2.1813073589943555</v>
      </c>
      <c r="G33" s="295">
        <v>4.362614717988711</v>
      </c>
      <c r="H33" s="295">
        <v>1.908643939120061</v>
      </c>
      <c r="I33" s="295">
        <v>4.362614717988711</v>
      </c>
      <c r="J33" s="295">
        <v>2.1813073589943555</v>
      </c>
      <c r="K33" s="295">
        <v>2.1813073589943555</v>
      </c>
      <c r="L33" s="295">
        <v>2.1813073589943555</v>
      </c>
      <c r="M33" s="295">
        <v>4.362614717988711</v>
      </c>
      <c r="N33" s="296">
        <v>2.1813073589943555</v>
      </c>
      <c r="O33" s="296">
        <v>4.362614717988711</v>
      </c>
    </row>
    <row r="34" spans="2:13" ht="12.75"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</row>
    <row r="35" spans="2:13" ht="12.75"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</row>
    <row r="36" spans="2:13" ht="12.75"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</row>
    <row r="37" spans="2:13" ht="12.75"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</row>
    <row r="38" spans="2:13" ht="12.75"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</row>
    <row r="39" spans="2:13" ht="12.75"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</row>
    <row r="40" spans="2:13" ht="12.75"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2:13" ht="12.75"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</row>
    <row r="42" spans="2:13" ht="12.75"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</row>
    <row r="43" spans="2:13" ht="12.75"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</row>
    <row r="44" spans="2:13" ht="12.75"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</row>
    <row r="45" spans="2:13" ht="12.75"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</row>
    <row r="46" spans="2:13" ht="12.75"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</row>
    <row r="47" spans="2:13" ht="12.75"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</row>
    <row r="48" spans="2:13" ht="12.75"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</row>
    <row r="49" spans="2:13" ht="12.75"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</row>
    <row r="50" spans="2:13" ht="12.75"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</row>
    <row r="51" spans="2:13" ht="12.75"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</row>
    <row r="52" spans="2:13" ht="12.75"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</row>
    <row r="53" spans="2:13" ht="12.75"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</row>
    <row r="54" spans="2:13" ht="12.75"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</row>
    <row r="55" spans="2:13" ht="12.75"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</row>
    <row r="56" spans="2:13" ht="12.75"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</row>
    <row r="57" spans="2:13" ht="12.75"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</row>
    <row r="58" spans="2:13" ht="12.75"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</row>
    <row r="59" spans="2:13" ht="12.75"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2:13" ht="12.75"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</row>
    <row r="61" spans="2:13" ht="12.75"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</row>
    <row r="62" spans="2:13" ht="12.75"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</row>
    <row r="63" spans="2:13" ht="12.75"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</row>
    <row r="64" spans="2:13" ht="12.75"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</row>
    <row r="65" spans="2:13" ht="12.75"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</row>
    <row r="66" spans="2:13" ht="12.75"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</row>
    <row r="67" spans="2:13" ht="12.75"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</row>
    <row r="68" spans="2:13" ht="12.75"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</row>
    <row r="69" spans="2:13" ht="12.75"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</row>
    <row r="70" spans="2:13" ht="12.75"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</row>
    <row r="71" spans="2:13" ht="12.75"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</row>
    <row r="72" spans="2:13" ht="12.75"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</row>
    <row r="73" spans="2:13" ht="12.75"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</row>
    <row r="74" spans="2:13" ht="12.75"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</row>
    <row r="75" spans="2:13" ht="12.75"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</row>
    <row r="76" spans="2:13" ht="12.75"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</row>
    <row r="77" spans="2:13" ht="12.75"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</row>
  </sheetData>
  <sheetProtection/>
  <mergeCells count="2">
    <mergeCell ref="A2:N2"/>
    <mergeCell ref="A1:O1"/>
  </mergeCells>
  <printOptions horizontalCentered="1" verticalCentered="1"/>
  <pageMargins left="0.1968503937007874" right="0.1968503937007874" top="0.59" bottom="0.47" header="0.22" footer="0.2362204724409449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59"/>
  <sheetViews>
    <sheetView showGridLines="0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8.140625" defaultRowHeight="12.75"/>
  <cols>
    <col min="1" max="1" width="39.57421875" style="348" customWidth="1"/>
    <col min="2" max="2" width="8.140625" style="348" hidden="1" customWidth="1"/>
    <col min="3" max="3" width="8.140625" style="349" hidden="1" customWidth="1"/>
    <col min="4" max="5" width="8.140625" style="350" hidden="1" customWidth="1"/>
    <col min="6" max="6" width="9.7109375" style="363" customWidth="1"/>
    <col min="7" max="7" width="8.140625" style="350" customWidth="1"/>
    <col min="8" max="8" width="8.140625" style="331" hidden="1" customWidth="1"/>
    <col min="9" max="13" width="8.140625" style="350" hidden="1" customWidth="1"/>
    <col min="14" max="14" width="8.140625" style="350" customWidth="1"/>
    <col min="15" max="15" width="8.140625" style="331" hidden="1" customWidth="1"/>
    <col min="16" max="18" width="8.140625" style="350" hidden="1" customWidth="1"/>
    <col min="19" max="19" width="8.140625" style="350" customWidth="1"/>
    <col min="20" max="20" width="8.140625" style="331" hidden="1" customWidth="1"/>
    <col min="21" max="23" width="8.140625" style="350" hidden="1" customWidth="1"/>
    <col min="24" max="25" width="8.140625" style="350" customWidth="1"/>
    <col min="26" max="26" width="8.140625" style="331" hidden="1" customWidth="1"/>
    <col min="27" max="29" width="8.140625" style="350" hidden="1" customWidth="1"/>
    <col min="30" max="30" width="8.140625" style="350" customWidth="1"/>
    <col min="31" max="31" width="8.140625" style="331" hidden="1" customWidth="1"/>
    <col min="32" max="34" width="8.140625" style="350" hidden="1" customWidth="1"/>
    <col min="35" max="35" width="8.140625" style="350" customWidth="1"/>
    <col min="36" max="36" width="8.140625" style="331" hidden="1" customWidth="1"/>
    <col min="37" max="39" width="8.140625" style="350" hidden="1" customWidth="1"/>
    <col min="40" max="40" width="8.140625" style="350" customWidth="1"/>
    <col min="41" max="41" width="8.140625" style="331" hidden="1" customWidth="1"/>
    <col min="42" max="44" width="8.140625" style="350" hidden="1" customWidth="1"/>
    <col min="45" max="45" width="8.140625" style="350" customWidth="1"/>
    <col min="46" max="46" width="8.140625" style="331" hidden="1" customWidth="1"/>
    <col min="47" max="49" width="8.140625" style="350" hidden="1" customWidth="1"/>
    <col min="50" max="50" width="8.140625" style="350" customWidth="1"/>
    <col min="51" max="51" width="8.140625" style="331" hidden="1" customWidth="1"/>
    <col min="52" max="54" width="8.140625" style="350" hidden="1" customWidth="1"/>
    <col min="55" max="55" width="8.140625" style="350" customWidth="1"/>
    <col min="56" max="56" width="8.140625" style="331" hidden="1" customWidth="1"/>
    <col min="57" max="59" width="8.140625" style="350" hidden="1" customWidth="1"/>
    <col min="60" max="60" width="8.140625" style="350" customWidth="1"/>
    <col min="61" max="61" width="8.140625" style="331" hidden="1" customWidth="1"/>
    <col min="62" max="64" width="8.140625" style="350" hidden="1" customWidth="1"/>
    <col min="65" max="65" width="8.140625" style="350" customWidth="1"/>
    <col min="66" max="66" width="8.140625" style="331" hidden="1" customWidth="1"/>
    <col min="67" max="69" width="8.140625" style="351" hidden="1" customWidth="1"/>
    <col min="70" max="70" width="8.140625" style="351" customWidth="1"/>
    <col min="71" max="71" width="8.140625" style="331" hidden="1" customWidth="1"/>
    <col min="72" max="74" width="8.140625" style="350" hidden="1" customWidth="1"/>
    <col min="75" max="16384" width="8.140625" style="331" customWidth="1"/>
  </cols>
  <sheetData>
    <row r="1" spans="1:74" ht="18">
      <c r="A1" s="378" t="s">
        <v>595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</row>
    <row r="2" spans="1:74" s="323" customFormat="1" ht="33" customHeight="1">
      <c r="A2" s="380" t="s">
        <v>596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</row>
    <row r="3" spans="1:74" ht="92.25" customHeight="1">
      <c r="A3" s="324" t="s">
        <v>597</v>
      </c>
      <c r="B3" s="325" t="s">
        <v>516</v>
      </c>
      <c r="C3" s="326" t="s">
        <v>517</v>
      </c>
      <c r="D3" s="327" t="s">
        <v>518</v>
      </c>
      <c r="E3" s="328" t="s">
        <v>519</v>
      </c>
      <c r="F3" s="329" t="s">
        <v>598</v>
      </c>
      <c r="G3" s="328" t="s">
        <v>599</v>
      </c>
      <c r="H3" s="325" t="s">
        <v>520</v>
      </c>
      <c r="I3" s="326" t="s">
        <v>600</v>
      </c>
      <c r="J3" s="328" t="s">
        <v>601</v>
      </c>
      <c r="K3" s="328" t="s">
        <v>602</v>
      </c>
      <c r="L3" s="328" t="s">
        <v>603</v>
      </c>
      <c r="M3" s="328" t="s">
        <v>604</v>
      </c>
      <c r="N3" s="328" t="s">
        <v>605</v>
      </c>
      <c r="O3" s="325" t="s">
        <v>521</v>
      </c>
      <c r="P3" s="326" t="s">
        <v>522</v>
      </c>
      <c r="Q3" s="328" t="s">
        <v>523</v>
      </c>
      <c r="R3" s="328" t="s">
        <v>524</v>
      </c>
      <c r="S3" s="328" t="s">
        <v>606</v>
      </c>
      <c r="T3" s="325" t="s">
        <v>525</v>
      </c>
      <c r="U3" s="326" t="s">
        <v>526</v>
      </c>
      <c r="V3" s="328" t="s">
        <v>527</v>
      </c>
      <c r="W3" s="328" t="s">
        <v>528</v>
      </c>
      <c r="X3" s="328" t="s">
        <v>607</v>
      </c>
      <c r="Y3" s="328" t="s">
        <v>608</v>
      </c>
      <c r="Z3" s="325" t="s">
        <v>529</v>
      </c>
      <c r="AA3" s="326" t="s">
        <v>530</v>
      </c>
      <c r="AB3" s="328" t="s">
        <v>531</v>
      </c>
      <c r="AC3" s="328" t="s">
        <v>532</v>
      </c>
      <c r="AD3" s="328" t="s">
        <v>609</v>
      </c>
      <c r="AE3" s="325" t="s">
        <v>533</v>
      </c>
      <c r="AF3" s="325" t="s">
        <v>534</v>
      </c>
      <c r="AG3" s="330" t="s">
        <v>535</v>
      </c>
      <c r="AH3" s="330" t="s">
        <v>536</v>
      </c>
      <c r="AI3" s="330" t="s">
        <v>453</v>
      </c>
      <c r="AJ3" s="325" t="s">
        <v>537</v>
      </c>
      <c r="AK3" s="325" t="s">
        <v>538</v>
      </c>
      <c r="AL3" s="330" t="s">
        <v>539</v>
      </c>
      <c r="AM3" s="330" t="s">
        <v>540</v>
      </c>
      <c r="AN3" s="330" t="s">
        <v>610</v>
      </c>
      <c r="AO3" s="325" t="s">
        <v>541</v>
      </c>
      <c r="AP3" s="325" t="s">
        <v>542</v>
      </c>
      <c r="AQ3" s="330" t="s">
        <v>543</v>
      </c>
      <c r="AR3" s="330" t="s">
        <v>544</v>
      </c>
      <c r="AS3" s="330" t="s">
        <v>611</v>
      </c>
      <c r="AT3" s="325" t="s">
        <v>545</v>
      </c>
      <c r="AU3" s="325" t="s">
        <v>546</v>
      </c>
      <c r="AV3" s="330" t="s">
        <v>547</v>
      </c>
      <c r="AW3" s="330" t="s">
        <v>548</v>
      </c>
      <c r="AX3" s="330" t="s">
        <v>612</v>
      </c>
      <c r="AY3" s="325" t="s">
        <v>549</v>
      </c>
      <c r="AZ3" s="325" t="s">
        <v>550</v>
      </c>
      <c r="BA3" s="330" t="s">
        <v>551</v>
      </c>
      <c r="BB3" s="330" t="s">
        <v>552</v>
      </c>
      <c r="BC3" s="330" t="s">
        <v>613</v>
      </c>
      <c r="BD3" s="325" t="s">
        <v>553</v>
      </c>
      <c r="BE3" s="325" t="s">
        <v>554</v>
      </c>
      <c r="BF3" s="330" t="s">
        <v>555</v>
      </c>
      <c r="BG3" s="330" t="s">
        <v>556</v>
      </c>
      <c r="BH3" s="330" t="s">
        <v>614</v>
      </c>
      <c r="BI3" s="325" t="s">
        <v>557</v>
      </c>
      <c r="BJ3" s="325" t="s">
        <v>558</v>
      </c>
      <c r="BK3" s="330" t="s">
        <v>559</v>
      </c>
      <c r="BL3" s="330" t="s">
        <v>560</v>
      </c>
      <c r="BM3" s="330" t="s">
        <v>615</v>
      </c>
      <c r="BN3" s="325" t="s">
        <v>561</v>
      </c>
      <c r="BO3" s="325" t="s">
        <v>562</v>
      </c>
      <c r="BP3" s="330" t="s">
        <v>563</v>
      </c>
      <c r="BQ3" s="330" t="s">
        <v>564</v>
      </c>
      <c r="BR3" s="330" t="s">
        <v>616</v>
      </c>
      <c r="BS3" s="325" t="s">
        <v>565</v>
      </c>
      <c r="BT3" s="325" t="s">
        <v>566</v>
      </c>
      <c r="BU3" s="330" t="s">
        <v>567</v>
      </c>
      <c r="BV3" s="330" t="s">
        <v>568</v>
      </c>
    </row>
    <row r="4" spans="1:74" ht="12.75">
      <c r="A4" s="357" t="s">
        <v>617</v>
      </c>
      <c r="B4" s="332" t="s">
        <v>153</v>
      </c>
      <c r="C4" s="333" t="s">
        <v>153</v>
      </c>
      <c r="D4" s="334" t="s">
        <v>153</v>
      </c>
      <c r="E4" s="333" t="s">
        <v>153</v>
      </c>
      <c r="F4" s="333"/>
      <c r="G4" s="333" t="s">
        <v>153</v>
      </c>
      <c r="H4" s="333" t="s">
        <v>153</v>
      </c>
      <c r="I4" s="358">
        <v>0.2</v>
      </c>
      <c r="J4" s="333" t="s">
        <v>153</v>
      </c>
      <c r="K4" s="358">
        <v>0.013</v>
      </c>
      <c r="L4" s="358">
        <v>0.027</v>
      </c>
      <c r="M4" s="358">
        <v>0.031</v>
      </c>
      <c r="N4" s="333" t="s">
        <v>153</v>
      </c>
      <c r="O4" s="333" t="s">
        <v>153</v>
      </c>
      <c r="P4" s="333" t="s">
        <v>153</v>
      </c>
      <c r="Q4" s="333" t="s">
        <v>153</v>
      </c>
      <c r="R4" s="333" t="s">
        <v>153</v>
      </c>
      <c r="S4" s="333" t="s">
        <v>153</v>
      </c>
      <c r="T4" s="333" t="s">
        <v>153</v>
      </c>
      <c r="U4" s="333" t="s">
        <v>153</v>
      </c>
      <c r="V4" s="333" t="s">
        <v>153</v>
      </c>
      <c r="W4" s="333" t="s">
        <v>153</v>
      </c>
      <c r="X4" s="333" t="s">
        <v>153</v>
      </c>
      <c r="Y4" s="333" t="s">
        <v>153</v>
      </c>
      <c r="Z4" s="333" t="s">
        <v>153</v>
      </c>
      <c r="AA4" s="333" t="s">
        <v>153</v>
      </c>
      <c r="AB4" s="333" t="s">
        <v>153</v>
      </c>
      <c r="AC4" s="333" t="s">
        <v>153</v>
      </c>
      <c r="AD4" s="333" t="s">
        <v>153</v>
      </c>
      <c r="AE4" s="333" t="s">
        <v>153</v>
      </c>
      <c r="AF4" s="333" t="s">
        <v>153</v>
      </c>
      <c r="AG4" s="333" t="s">
        <v>153</v>
      </c>
      <c r="AH4" s="333" t="s">
        <v>153</v>
      </c>
      <c r="AI4" s="333" t="s">
        <v>153</v>
      </c>
      <c r="AJ4" s="333" t="s">
        <v>153</v>
      </c>
      <c r="AK4" s="333" t="s">
        <v>153</v>
      </c>
      <c r="AL4" s="333" t="s">
        <v>153</v>
      </c>
      <c r="AM4" s="333" t="s">
        <v>153</v>
      </c>
      <c r="AN4" s="333" t="s">
        <v>153</v>
      </c>
      <c r="AO4" s="333" t="s">
        <v>153</v>
      </c>
      <c r="AP4" s="333" t="s">
        <v>153</v>
      </c>
      <c r="AQ4" s="333" t="s">
        <v>153</v>
      </c>
      <c r="AR4" s="333" t="s">
        <v>153</v>
      </c>
      <c r="AS4" s="333" t="s">
        <v>153</v>
      </c>
      <c r="AT4" s="333" t="s">
        <v>153</v>
      </c>
      <c r="AU4" s="333" t="s">
        <v>153</v>
      </c>
      <c r="AV4" s="333" t="s">
        <v>153</v>
      </c>
      <c r="AW4" s="333" t="s">
        <v>153</v>
      </c>
      <c r="AX4" s="333" t="s">
        <v>153</v>
      </c>
      <c r="AY4" s="333" t="s">
        <v>153</v>
      </c>
      <c r="AZ4" s="333" t="s">
        <v>153</v>
      </c>
      <c r="BA4" s="333" t="s">
        <v>153</v>
      </c>
      <c r="BB4" s="333" t="s">
        <v>153</v>
      </c>
      <c r="BC4" s="333" t="s">
        <v>153</v>
      </c>
      <c r="BD4" s="333" t="s">
        <v>153</v>
      </c>
      <c r="BE4" s="333" t="s">
        <v>153</v>
      </c>
      <c r="BF4" s="333" t="s">
        <v>153</v>
      </c>
      <c r="BG4" s="333" t="s">
        <v>153</v>
      </c>
      <c r="BH4" s="333" t="s">
        <v>153</v>
      </c>
      <c r="BI4" s="333" t="s">
        <v>153</v>
      </c>
      <c r="BJ4" s="333" t="s">
        <v>153</v>
      </c>
      <c r="BK4" s="333" t="s">
        <v>153</v>
      </c>
      <c r="BL4" s="333" t="s">
        <v>153</v>
      </c>
      <c r="BM4" s="333" t="s">
        <v>153</v>
      </c>
      <c r="BN4" s="333" t="s">
        <v>153</v>
      </c>
      <c r="BO4" s="333" t="s">
        <v>153</v>
      </c>
      <c r="BP4" s="333" t="s">
        <v>153</v>
      </c>
      <c r="BQ4" s="333" t="s">
        <v>153</v>
      </c>
      <c r="BR4" s="333" t="s">
        <v>153</v>
      </c>
      <c r="BS4" s="333" t="s">
        <v>153</v>
      </c>
      <c r="BT4" s="333" t="s">
        <v>153</v>
      </c>
      <c r="BU4" s="333" t="s">
        <v>153</v>
      </c>
      <c r="BV4" s="333" t="s">
        <v>153</v>
      </c>
    </row>
    <row r="5" spans="1:74" ht="12.75">
      <c r="A5" s="335" t="s">
        <v>618</v>
      </c>
      <c r="B5" s="336">
        <v>22</v>
      </c>
      <c r="C5" s="337">
        <f>B5*8.5/100+B5</f>
        <v>23.87</v>
      </c>
      <c r="D5" s="338">
        <f>C5*2.1/100+C5</f>
        <v>24.371270000000003</v>
      </c>
      <c r="E5" s="337">
        <f>D5*1.6/100+D5</f>
        <v>24.761210320000004</v>
      </c>
      <c r="F5" s="359"/>
      <c r="G5" s="337">
        <f aca="true" t="shared" si="0" ref="G5:G17">N5*0.4</f>
        <v>34.321577600000005</v>
      </c>
      <c r="H5" s="336"/>
      <c r="I5" s="337">
        <f aca="true" t="shared" si="1" ref="I5:I17">M5*$I$4</f>
        <v>21.450986</v>
      </c>
      <c r="J5" s="337">
        <v>100</v>
      </c>
      <c r="K5" s="337">
        <v>101.3</v>
      </c>
      <c r="L5" s="337">
        <v>104.03</v>
      </c>
      <c r="M5" s="337">
        <f aca="true" t="shared" si="2" ref="M5:M23">L5*$M$4+L5</f>
        <v>107.25493</v>
      </c>
      <c r="N5" s="337">
        <f aca="true" t="shared" si="3" ref="N5:N15">M5-I5</f>
        <v>85.803944</v>
      </c>
      <c r="O5" s="336"/>
      <c r="P5" s="337"/>
      <c r="Q5" s="337"/>
      <c r="R5" s="337"/>
      <c r="S5" s="337">
        <f aca="true" t="shared" si="4" ref="S5:S17">N5*0.5</f>
        <v>42.901972</v>
      </c>
      <c r="T5" s="336"/>
      <c r="U5" s="337"/>
      <c r="V5" s="337"/>
      <c r="W5" s="337"/>
      <c r="X5" s="337">
        <f aca="true" t="shared" si="5" ref="X5:X17">N5*0.4</f>
        <v>34.321577600000005</v>
      </c>
      <c r="Y5" s="337">
        <f aca="true" t="shared" si="6" ref="Y5:Y17">N5*0.55</f>
        <v>47.1921692</v>
      </c>
      <c r="Z5" s="336"/>
      <c r="AA5" s="337"/>
      <c r="AB5" s="337"/>
      <c r="AC5" s="337"/>
      <c r="AD5" s="337">
        <f aca="true" t="shared" si="7" ref="AD5:AD17">N5*0.5</f>
        <v>42.901972</v>
      </c>
      <c r="AE5" s="336"/>
      <c r="AF5" s="337"/>
      <c r="AG5" s="337"/>
      <c r="AH5" s="337"/>
      <c r="AI5" s="337">
        <f aca="true" t="shared" si="8" ref="AI5:AI17">N5*0.7</f>
        <v>60.0627608</v>
      </c>
      <c r="AJ5" s="336"/>
      <c r="AK5" s="337"/>
      <c r="AL5" s="337"/>
      <c r="AM5" s="337"/>
      <c r="AN5" s="337">
        <f aca="true" t="shared" si="9" ref="AN5:AN17">N5*0.55</f>
        <v>47.1921692</v>
      </c>
      <c r="AO5" s="336"/>
      <c r="AP5" s="337"/>
      <c r="AQ5" s="337"/>
      <c r="AR5" s="337"/>
      <c r="AS5" s="337">
        <f aca="true" t="shared" si="10" ref="AS5:AS17">N5*0.65</f>
        <v>55.772563600000005</v>
      </c>
      <c r="AT5" s="336"/>
      <c r="AU5" s="337"/>
      <c r="AV5" s="337"/>
      <c r="AW5" s="337"/>
      <c r="AX5" s="337">
        <f aca="true" t="shared" si="11" ref="AX5:AX17">N5*0.6</f>
        <v>51.4823664</v>
      </c>
      <c r="AY5" s="336"/>
      <c r="AZ5" s="337"/>
      <c r="BA5" s="337"/>
      <c r="BB5" s="337"/>
      <c r="BC5" s="337">
        <f aca="true" t="shared" si="12" ref="BC5:BC17">N5*0.65</f>
        <v>55.772563600000005</v>
      </c>
      <c r="BD5" s="336"/>
      <c r="BE5" s="337"/>
      <c r="BF5" s="337"/>
      <c r="BG5" s="337"/>
      <c r="BH5" s="337">
        <f aca="true" t="shared" si="13" ref="BH5:BH17">N5*0.65</f>
        <v>55.772563600000005</v>
      </c>
      <c r="BI5" s="336"/>
      <c r="BJ5" s="337"/>
      <c r="BK5" s="337"/>
      <c r="BL5" s="337"/>
      <c r="BM5" s="337">
        <f aca="true" t="shared" si="14" ref="BM5:BM17">N5*0.8</f>
        <v>68.64315520000001</v>
      </c>
      <c r="BN5" s="339"/>
      <c r="BO5" s="340"/>
      <c r="BP5" s="340"/>
      <c r="BQ5" s="340"/>
      <c r="BR5" s="340">
        <f aca="true" t="shared" si="15" ref="BR5:BR17">N5*0.6</f>
        <v>51.4823664</v>
      </c>
      <c r="BS5" s="339"/>
      <c r="BT5" s="337"/>
      <c r="BU5" s="337"/>
      <c r="BV5" s="337"/>
    </row>
    <row r="6" spans="1:74" ht="12.75">
      <c r="A6" s="335" t="s">
        <v>619</v>
      </c>
      <c r="B6" s="336"/>
      <c r="C6" s="337"/>
      <c r="D6" s="338"/>
      <c r="E6" s="337"/>
      <c r="F6" s="359" t="s">
        <v>620</v>
      </c>
      <c r="G6" s="337">
        <f t="shared" si="0"/>
        <v>12.0123872</v>
      </c>
      <c r="H6" s="336"/>
      <c r="I6" s="337">
        <f t="shared" si="1"/>
        <v>7.5077419999999995</v>
      </c>
      <c r="J6" s="337">
        <v>35</v>
      </c>
      <c r="K6" s="337">
        <v>35.455</v>
      </c>
      <c r="L6" s="337">
        <v>36.41</v>
      </c>
      <c r="M6" s="337">
        <f t="shared" si="2"/>
        <v>37.538709999999995</v>
      </c>
      <c r="N6" s="337">
        <f t="shared" si="3"/>
        <v>30.030967999999994</v>
      </c>
      <c r="O6" s="336"/>
      <c r="P6" s="337"/>
      <c r="Q6" s="337"/>
      <c r="R6" s="337"/>
      <c r="S6" s="337">
        <f t="shared" si="4"/>
        <v>15.015483999999997</v>
      </c>
      <c r="T6" s="336"/>
      <c r="U6" s="337"/>
      <c r="V6" s="337"/>
      <c r="W6" s="337"/>
      <c r="X6" s="337">
        <f t="shared" si="5"/>
        <v>12.0123872</v>
      </c>
      <c r="Y6" s="337">
        <f t="shared" si="6"/>
        <v>16.517032399999998</v>
      </c>
      <c r="Z6" s="336"/>
      <c r="AA6" s="337"/>
      <c r="AB6" s="337"/>
      <c r="AC6" s="337"/>
      <c r="AD6" s="337">
        <f t="shared" si="7"/>
        <v>15.015483999999997</v>
      </c>
      <c r="AE6" s="336"/>
      <c r="AF6" s="337"/>
      <c r="AG6" s="337"/>
      <c r="AH6" s="337"/>
      <c r="AI6" s="337">
        <f t="shared" si="8"/>
        <v>21.021677599999993</v>
      </c>
      <c r="AJ6" s="336"/>
      <c r="AK6" s="337"/>
      <c r="AL6" s="337"/>
      <c r="AM6" s="337"/>
      <c r="AN6" s="337">
        <f t="shared" si="9"/>
        <v>16.517032399999998</v>
      </c>
      <c r="AO6" s="336"/>
      <c r="AP6" s="337"/>
      <c r="AQ6" s="337"/>
      <c r="AR6" s="337"/>
      <c r="AS6" s="337">
        <f t="shared" si="10"/>
        <v>19.520129199999996</v>
      </c>
      <c r="AT6" s="336"/>
      <c r="AU6" s="337"/>
      <c r="AV6" s="337"/>
      <c r="AW6" s="337"/>
      <c r="AX6" s="337">
        <f t="shared" si="11"/>
        <v>18.018580799999995</v>
      </c>
      <c r="AY6" s="336"/>
      <c r="AZ6" s="337"/>
      <c r="BA6" s="337"/>
      <c r="BB6" s="337"/>
      <c r="BC6" s="337">
        <f t="shared" si="12"/>
        <v>19.520129199999996</v>
      </c>
      <c r="BD6" s="336"/>
      <c r="BE6" s="337"/>
      <c r="BF6" s="337"/>
      <c r="BG6" s="337"/>
      <c r="BH6" s="337">
        <f t="shared" si="13"/>
        <v>19.520129199999996</v>
      </c>
      <c r="BI6" s="336"/>
      <c r="BJ6" s="337"/>
      <c r="BK6" s="337"/>
      <c r="BL6" s="337"/>
      <c r="BM6" s="337">
        <f t="shared" si="14"/>
        <v>24.0247744</v>
      </c>
      <c r="BN6" s="339"/>
      <c r="BO6" s="340"/>
      <c r="BP6" s="340"/>
      <c r="BQ6" s="340"/>
      <c r="BR6" s="340">
        <f t="shared" si="15"/>
        <v>18.018580799999995</v>
      </c>
      <c r="BS6" s="339"/>
      <c r="BT6" s="337"/>
      <c r="BU6" s="337"/>
      <c r="BV6" s="337"/>
    </row>
    <row r="7" spans="1:74" ht="12.75">
      <c r="A7" s="335" t="s">
        <v>621</v>
      </c>
      <c r="B7" s="336"/>
      <c r="C7" s="337"/>
      <c r="D7" s="338"/>
      <c r="E7" s="337"/>
      <c r="F7" s="359"/>
      <c r="G7" s="337">
        <f t="shared" si="0"/>
        <v>37.752745600000004</v>
      </c>
      <c r="H7" s="336"/>
      <c r="I7" s="337">
        <f t="shared" si="1"/>
        <v>23.595466000000002</v>
      </c>
      <c r="J7" s="337">
        <v>110</v>
      </c>
      <c r="K7" s="337">
        <v>111.43</v>
      </c>
      <c r="L7" s="337">
        <v>114.43</v>
      </c>
      <c r="M7" s="337">
        <f t="shared" si="2"/>
        <v>117.97733000000001</v>
      </c>
      <c r="N7" s="337">
        <f t="shared" si="3"/>
        <v>94.38186400000001</v>
      </c>
      <c r="O7" s="336"/>
      <c r="P7" s="337"/>
      <c r="Q7" s="337"/>
      <c r="R7" s="337"/>
      <c r="S7" s="337">
        <f t="shared" si="4"/>
        <v>47.190932000000004</v>
      </c>
      <c r="T7" s="336"/>
      <c r="U7" s="337"/>
      <c r="V7" s="337"/>
      <c r="W7" s="337"/>
      <c r="X7" s="337">
        <f t="shared" si="5"/>
        <v>37.752745600000004</v>
      </c>
      <c r="Y7" s="337">
        <f t="shared" si="6"/>
        <v>51.91002520000001</v>
      </c>
      <c r="Z7" s="336"/>
      <c r="AA7" s="337"/>
      <c r="AB7" s="337"/>
      <c r="AC7" s="337"/>
      <c r="AD7" s="337">
        <f t="shared" si="7"/>
        <v>47.190932000000004</v>
      </c>
      <c r="AE7" s="336"/>
      <c r="AF7" s="337"/>
      <c r="AG7" s="337"/>
      <c r="AH7" s="337"/>
      <c r="AI7" s="337">
        <f t="shared" si="8"/>
        <v>66.0673048</v>
      </c>
      <c r="AJ7" s="336"/>
      <c r="AK7" s="337"/>
      <c r="AL7" s="337"/>
      <c r="AM7" s="337"/>
      <c r="AN7" s="337">
        <f t="shared" si="9"/>
        <v>51.91002520000001</v>
      </c>
      <c r="AO7" s="336"/>
      <c r="AP7" s="337"/>
      <c r="AQ7" s="337"/>
      <c r="AR7" s="337"/>
      <c r="AS7" s="337">
        <f t="shared" si="10"/>
        <v>61.348211600000006</v>
      </c>
      <c r="AT7" s="336"/>
      <c r="AU7" s="337"/>
      <c r="AV7" s="337"/>
      <c r="AW7" s="337"/>
      <c r="AX7" s="337">
        <f t="shared" si="11"/>
        <v>56.6291184</v>
      </c>
      <c r="AY7" s="336"/>
      <c r="AZ7" s="337"/>
      <c r="BA7" s="337"/>
      <c r="BB7" s="337"/>
      <c r="BC7" s="337">
        <f t="shared" si="12"/>
        <v>61.348211600000006</v>
      </c>
      <c r="BD7" s="336"/>
      <c r="BE7" s="337"/>
      <c r="BF7" s="337"/>
      <c r="BG7" s="337"/>
      <c r="BH7" s="337">
        <f t="shared" si="13"/>
        <v>61.348211600000006</v>
      </c>
      <c r="BI7" s="336"/>
      <c r="BJ7" s="337"/>
      <c r="BK7" s="337"/>
      <c r="BL7" s="337"/>
      <c r="BM7" s="337">
        <f t="shared" si="14"/>
        <v>75.50549120000001</v>
      </c>
      <c r="BN7" s="339"/>
      <c r="BO7" s="340"/>
      <c r="BP7" s="340"/>
      <c r="BQ7" s="340"/>
      <c r="BR7" s="340">
        <f t="shared" si="15"/>
        <v>56.6291184</v>
      </c>
      <c r="BS7" s="339"/>
      <c r="BT7" s="337"/>
      <c r="BU7" s="337"/>
      <c r="BV7" s="337"/>
    </row>
    <row r="8" spans="1:74" ht="12.75">
      <c r="A8" s="335" t="s">
        <v>622</v>
      </c>
      <c r="B8" s="336"/>
      <c r="C8" s="337"/>
      <c r="D8" s="338"/>
      <c r="E8" s="337"/>
      <c r="F8" s="359"/>
      <c r="G8" s="337">
        <f t="shared" si="0"/>
        <v>34.321577600000005</v>
      </c>
      <c r="H8" s="336"/>
      <c r="I8" s="337">
        <f t="shared" si="1"/>
        <v>21.450986</v>
      </c>
      <c r="J8" s="337">
        <v>100</v>
      </c>
      <c r="K8" s="337">
        <v>101.3</v>
      </c>
      <c r="L8" s="337">
        <v>104.03</v>
      </c>
      <c r="M8" s="337">
        <f t="shared" si="2"/>
        <v>107.25493</v>
      </c>
      <c r="N8" s="337">
        <f t="shared" si="3"/>
        <v>85.803944</v>
      </c>
      <c r="O8" s="336"/>
      <c r="P8" s="337"/>
      <c r="Q8" s="337"/>
      <c r="R8" s="337"/>
      <c r="S8" s="337">
        <f t="shared" si="4"/>
        <v>42.901972</v>
      </c>
      <c r="T8" s="336"/>
      <c r="U8" s="337"/>
      <c r="V8" s="337"/>
      <c r="W8" s="337"/>
      <c r="X8" s="337">
        <f t="shared" si="5"/>
        <v>34.321577600000005</v>
      </c>
      <c r="Y8" s="337">
        <f t="shared" si="6"/>
        <v>47.1921692</v>
      </c>
      <c r="Z8" s="336"/>
      <c r="AA8" s="337"/>
      <c r="AB8" s="337"/>
      <c r="AC8" s="337"/>
      <c r="AD8" s="337">
        <f t="shared" si="7"/>
        <v>42.901972</v>
      </c>
      <c r="AE8" s="336"/>
      <c r="AF8" s="337"/>
      <c r="AG8" s="337"/>
      <c r="AH8" s="337"/>
      <c r="AI8" s="337">
        <f t="shared" si="8"/>
        <v>60.0627608</v>
      </c>
      <c r="AJ8" s="336"/>
      <c r="AK8" s="337"/>
      <c r="AL8" s="337"/>
      <c r="AM8" s="337"/>
      <c r="AN8" s="337">
        <f t="shared" si="9"/>
        <v>47.1921692</v>
      </c>
      <c r="AO8" s="336"/>
      <c r="AP8" s="337"/>
      <c r="AQ8" s="337"/>
      <c r="AR8" s="337"/>
      <c r="AS8" s="337">
        <f t="shared" si="10"/>
        <v>55.772563600000005</v>
      </c>
      <c r="AT8" s="336"/>
      <c r="AU8" s="337"/>
      <c r="AV8" s="337"/>
      <c r="AW8" s="337"/>
      <c r="AX8" s="337">
        <f t="shared" si="11"/>
        <v>51.4823664</v>
      </c>
      <c r="AY8" s="336"/>
      <c r="AZ8" s="337"/>
      <c r="BA8" s="337"/>
      <c r="BB8" s="337"/>
      <c r="BC8" s="337">
        <f t="shared" si="12"/>
        <v>55.772563600000005</v>
      </c>
      <c r="BD8" s="336"/>
      <c r="BE8" s="337"/>
      <c r="BF8" s="337"/>
      <c r="BG8" s="337"/>
      <c r="BH8" s="337">
        <f t="shared" si="13"/>
        <v>55.772563600000005</v>
      </c>
      <c r="BI8" s="336"/>
      <c r="BJ8" s="337"/>
      <c r="BK8" s="337"/>
      <c r="BL8" s="337"/>
      <c r="BM8" s="337">
        <f t="shared" si="14"/>
        <v>68.64315520000001</v>
      </c>
      <c r="BN8" s="339"/>
      <c r="BO8" s="340"/>
      <c r="BP8" s="340"/>
      <c r="BQ8" s="340"/>
      <c r="BR8" s="340">
        <f t="shared" si="15"/>
        <v>51.4823664</v>
      </c>
      <c r="BS8" s="339"/>
      <c r="BT8" s="337"/>
      <c r="BU8" s="337"/>
      <c r="BV8" s="337"/>
    </row>
    <row r="9" spans="1:74" ht="12.75">
      <c r="A9" s="335" t="s">
        <v>623</v>
      </c>
      <c r="B9" s="336">
        <v>25</v>
      </c>
      <c r="C9" s="337">
        <f>B9*8.5/100+B9</f>
        <v>27.125</v>
      </c>
      <c r="D9" s="338">
        <f>C9*2.1/100+C9+0.01</f>
        <v>27.704625</v>
      </c>
      <c r="E9" s="337">
        <f>D9*1.6/100+D9</f>
        <v>28.147899</v>
      </c>
      <c r="F9" s="359"/>
      <c r="G9" s="337">
        <f t="shared" si="0"/>
        <v>54.915184</v>
      </c>
      <c r="H9" s="336"/>
      <c r="I9" s="337">
        <f t="shared" si="1"/>
        <v>34.32199</v>
      </c>
      <c r="J9" s="337">
        <v>160</v>
      </c>
      <c r="K9" s="337">
        <v>162.08</v>
      </c>
      <c r="L9" s="337">
        <v>166.45</v>
      </c>
      <c r="M9" s="337">
        <f t="shared" si="2"/>
        <v>171.60995</v>
      </c>
      <c r="N9" s="337">
        <f t="shared" si="3"/>
        <v>137.28796</v>
      </c>
      <c r="O9" s="336"/>
      <c r="P9" s="337"/>
      <c r="Q9" s="337"/>
      <c r="R9" s="337"/>
      <c r="S9" s="337">
        <f t="shared" si="4"/>
        <v>68.64398</v>
      </c>
      <c r="T9" s="336"/>
      <c r="U9" s="337"/>
      <c r="V9" s="337"/>
      <c r="W9" s="337"/>
      <c r="X9" s="337">
        <f t="shared" si="5"/>
        <v>54.915184</v>
      </c>
      <c r="Y9" s="337">
        <f t="shared" si="6"/>
        <v>75.50837800000001</v>
      </c>
      <c r="Z9" s="336"/>
      <c r="AA9" s="337"/>
      <c r="AB9" s="337"/>
      <c r="AC9" s="337"/>
      <c r="AD9" s="337">
        <f t="shared" si="7"/>
        <v>68.64398</v>
      </c>
      <c r="AE9" s="336"/>
      <c r="AF9" s="337"/>
      <c r="AG9" s="337"/>
      <c r="AH9" s="337"/>
      <c r="AI9" s="337">
        <f t="shared" si="8"/>
        <v>96.10157199999999</v>
      </c>
      <c r="AJ9" s="336"/>
      <c r="AK9" s="337"/>
      <c r="AL9" s="337"/>
      <c r="AM9" s="337"/>
      <c r="AN9" s="337">
        <f t="shared" si="9"/>
        <v>75.50837800000001</v>
      </c>
      <c r="AO9" s="336"/>
      <c r="AP9" s="337"/>
      <c r="AQ9" s="337"/>
      <c r="AR9" s="337"/>
      <c r="AS9" s="337">
        <f t="shared" si="10"/>
        <v>89.237174</v>
      </c>
      <c r="AT9" s="336"/>
      <c r="AU9" s="337"/>
      <c r="AV9" s="337"/>
      <c r="AW9" s="337"/>
      <c r="AX9" s="337">
        <f t="shared" si="11"/>
        <v>82.372776</v>
      </c>
      <c r="AY9" s="336"/>
      <c r="AZ9" s="337"/>
      <c r="BA9" s="337"/>
      <c r="BB9" s="337"/>
      <c r="BC9" s="337">
        <f t="shared" si="12"/>
        <v>89.237174</v>
      </c>
      <c r="BD9" s="336"/>
      <c r="BE9" s="337"/>
      <c r="BF9" s="337"/>
      <c r="BG9" s="337"/>
      <c r="BH9" s="337">
        <f t="shared" si="13"/>
        <v>89.237174</v>
      </c>
      <c r="BI9" s="336"/>
      <c r="BJ9" s="337"/>
      <c r="BK9" s="337"/>
      <c r="BL9" s="337"/>
      <c r="BM9" s="337">
        <f t="shared" si="14"/>
        <v>109.830368</v>
      </c>
      <c r="BN9" s="339"/>
      <c r="BO9" s="340"/>
      <c r="BP9" s="340"/>
      <c r="BQ9" s="340"/>
      <c r="BR9" s="340">
        <f t="shared" si="15"/>
        <v>82.372776</v>
      </c>
      <c r="BS9" s="339"/>
      <c r="BT9" s="337"/>
      <c r="BU9" s="337"/>
      <c r="BV9" s="337"/>
    </row>
    <row r="10" spans="1:74" ht="12.75">
      <c r="A10" s="335" t="s">
        <v>624</v>
      </c>
      <c r="B10" s="336"/>
      <c r="C10" s="337"/>
      <c r="D10" s="338"/>
      <c r="E10" s="337"/>
      <c r="F10" s="359"/>
      <c r="G10" s="337">
        <f t="shared" si="0"/>
        <v>44.61838080000001</v>
      </c>
      <c r="H10" s="336"/>
      <c r="I10" s="337">
        <f t="shared" si="1"/>
        <v>27.886488000000003</v>
      </c>
      <c r="J10" s="337">
        <v>130</v>
      </c>
      <c r="K10" s="337">
        <v>131.69</v>
      </c>
      <c r="L10" s="337">
        <v>135.24</v>
      </c>
      <c r="M10" s="337">
        <f t="shared" si="2"/>
        <v>139.43244</v>
      </c>
      <c r="N10" s="337">
        <f t="shared" si="3"/>
        <v>111.54595200000001</v>
      </c>
      <c r="O10" s="336"/>
      <c r="P10" s="337"/>
      <c r="Q10" s="337"/>
      <c r="R10" s="337"/>
      <c r="S10" s="337">
        <f t="shared" si="4"/>
        <v>55.77297600000001</v>
      </c>
      <c r="T10" s="336"/>
      <c r="U10" s="337"/>
      <c r="V10" s="337"/>
      <c r="W10" s="337"/>
      <c r="X10" s="337">
        <f t="shared" si="5"/>
        <v>44.61838080000001</v>
      </c>
      <c r="Y10" s="337">
        <f t="shared" si="6"/>
        <v>61.350273600000016</v>
      </c>
      <c r="Z10" s="336"/>
      <c r="AA10" s="337"/>
      <c r="AB10" s="337"/>
      <c r="AC10" s="337"/>
      <c r="AD10" s="337">
        <f t="shared" si="7"/>
        <v>55.77297600000001</v>
      </c>
      <c r="AE10" s="336"/>
      <c r="AF10" s="337"/>
      <c r="AG10" s="337"/>
      <c r="AH10" s="337"/>
      <c r="AI10" s="337">
        <f t="shared" si="8"/>
        <v>78.0821664</v>
      </c>
      <c r="AJ10" s="336"/>
      <c r="AK10" s="337"/>
      <c r="AL10" s="337"/>
      <c r="AM10" s="337"/>
      <c r="AN10" s="337">
        <f t="shared" si="9"/>
        <v>61.350273600000016</v>
      </c>
      <c r="AO10" s="336"/>
      <c r="AP10" s="337"/>
      <c r="AQ10" s="337"/>
      <c r="AR10" s="337"/>
      <c r="AS10" s="337">
        <f t="shared" si="10"/>
        <v>72.50486880000001</v>
      </c>
      <c r="AT10" s="336"/>
      <c r="AU10" s="337"/>
      <c r="AV10" s="337"/>
      <c r="AW10" s="337"/>
      <c r="AX10" s="337">
        <f t="shared" si="11"/>
        <v>66.9275712</v>
      </c>
      <c r="AY10" s="336"/>
      <c r="AZ10" s="337"/>
      <c r="BA10" s="337"/>
      <c r="BB10" s="337"/>
      <c r="BC10" s="337">
        <f t="shared" si="12"/>
        <v>72.50486880000001</v>
      </c>
      <c r="BD10" s="336"/>
      <c r="BE10" s="337"/>
      <c r="BF10" s="337"/>
      <c r="BG10" s="337"/>
      <c r="BH10" s="337">
        <f t="shared" si="13"/>
        <v>72.50486880000001</v>
      </c>
      <c r="BI10" s="336"/>
      <c r="BJ10" s="337"/>
      <c r="BK10" s="337"/>
      <c r="BL10" s="337"/>
      <c r="BM10" s="337">
        <f t="shared" si="14"/>
        <v>89.23676160000002</v>
      </c>
      <c r="BN10" s="339"/>
      <c r="BO10" s="340"/>
      <c r="BP10" s="340"/>
      <c r="BQ10" s="340"/>
      <c r="BR10" s="340">
        <f t="shared" si="15"/>
        <v>66.9275712</v>
      </c>
      <c r="BS10" s="339"/>
      <c r="BT10" s="337"/>
      <c r="BU10" s="337"/>
      <c r="BV10" s="337"/>
    </row>
    <row r="11" spans="1:74" ht="12.75">
      <c r="A11" s="335" t="s">
        <v>625</v>
      </c>
      <c r="B11" s="336">
        <v>8</v>
      </c>
      <c r="C11" s="337">
        <f>B11*8.5/100+B11</f>
        <v>8.68</v>
      </c>
      <c r="D11" s="338">
        <f>C11*2.1/100+C11</f>
        <v>8.86228</v>
      </c>
      <c r="E11" s="337">
        <f>D11*1.6/100+D11</f>
        <v>9.00407648</v>
      </c>
      <c r="F11" s="359"/>
      <c r="G11" s="337">
        <f t="shared" si="0"/>
        <v>41.1872128</v>
      </c>
      <c r="H11" s="336"/>
      <c r="I11" s="337">
        <f t="shared" si="1"/>
        <v>25.742008</v>
      </c>
      <c r="J11" s="337">
        <v>120</v>
      </c>
      <c r="K11" s="337">
        <v>121.56</v>
      </c>
      <c r="L11" s="337">
        <v>124.84</v>
      </c>
      <c r="M11" s="337">
        <f t="shared" si="2"/>
        <v>128.71004</v>
      </c>
      <c r="N11" s="337">
        <f t="shared" si="3"/>
        <v>102.968032</v>
      </c>
      <c r="O11" s="336"/>
      <c r="P11" s="337"/>
      <c r="Q11" s="337"/>
      <c r="R11" s="337"/>
      <c r="S11" s="337">
        <f t="shared" si="4"/>
        <v>51.484016</v>
      </c>
      <c r="T11" s="336"/>
      <c r="U11" s="337"/>
      <c r="V11" s="337"/>
      <c r="W11" s="337"/>
      <c r="X11" s="337">
        <f t="shared" si="5"/>
        <v>41.1872128</v>
      </c>
      <c r="Y11" s="337">
        <f t="shared" si="6"/>
        <v>56.632417600000004</v>
      </c>
      <c r="Z11" s="336"/>
      <c r="AA11" s="337"/>
      <c r="AB11" s="337"/>
      <c r="AC11" s="337"/>
      <c r="AD11" s="337">
        <f t="shared" si="7"/>
        <v>51.484016</v>
      </c>
      <c r="AE11" s="336"/>
      <c r="AF11" s="337"/>
      <c r="AG11" s="337"/>
      <c r="AH11" s="337"/>
      <c r="AI11" s="337">
        <f t="shared" si="8"/>
        <v>72.0776224</v>
      </c>
      <c r="AJ11" s="336"/>
      <c r="AK11" s="337"/>
      <c r="AL11" s="337"/>
      <c r="AM11" s="337"/>
      <c r="AN11" s="337">
        <f t="shared" si="9"/>
        <v>56.632417600000004</v>
      </c>
      <c r="AO11" s="336"/>
      <c r="AP11" s="337"/>
      <c r="AQ11" s="337"/>
      <c r="AR11" s="337"/>
      <c r="AS11" s="337">
        <f t="shared" si="10"/>
        <v>66.9292208</v>
      </c>
      <c r="AT11" s="336"/>
      <c r="AU11" s="337"/>
      <c r="AV11" s="337"/>
      <c r="AW11" s="337"/>
      <c r="AX11" s="337">
        <f t="shared" si="11"/>
        <v>61.780819199999996</v>
      </c>
      <c r="AY11" s="336"/>
      <c r="AZ11" s="337"/>
      <c r="BA11" s="337"/>
      <c r="BB11" s="337"/>
      <c r="BC11" s="337">
        <f t="shared" si="12"/>
        <v>66.9292208</v>
      </c>
      <c r="BD11" s="336"/>
      <c r="BE11" s="337"/>
      <c r="BF11" s="337"/>
      <c r="BG11" s="337"/>
      <c r="BH11" s="337">
        <f t="shared" si="13"/>
        <v>66.9292208</v>
      </c>
      <c r="BI11" s="336"/>
      <c r="BJ11" s="337"/>
      <c r="BK11" s="337"/>
      <c r="BL11" s="337"/>
      <c r="BM11" s="337">
        <f t="shared" si="14"/>
        <v>82.3744256</v>
      </c>
      <c r="BN11" s="339"/>
      <c r="BO11" s="340"/>
      <c r="BP11" s="340"/>
      <c r="BQ11" s="340"/>
      <c r="BR11" s="340">
        <f t="shared" si="15"/>
        <v>61.780819199999996</v>
      </c>
      <c r="BS11" s="339"/>
      <c r="BT11" s="337"/>
      <c r="BU11" s="337"/>
      <c r="BV11" s="337"/>
    </row>
    <row r="12" spans="1:74" ht="12.75">
      <c r="A12" s="335" t="s">
        <v>626</v>
      </c>
      <c r="B12" s="336"/>
      <c r="C12" s="337"/>
      <c r="D12" s="338"/>
      <c r="E12" s="337"/>
      <c r="F12" s="359"/>
      <c r="G12" s="337">
        <f t="shared" si="0"/>
        <v>10.2968032</v>
      </c>
      <c r="H12" s="336"/>
      <c r="I12" s="337">
        <f t="shared" si="1"/>
        <v>6.435502</v>
      </c>
      <c r="J12" s="337">
        <v>30</v>
      </c>
      <c r="K12" s="337">
        <v>30.39</v>
      </c>
      <c r="L12" s="337">
        <v>31.21</v>
      </c>
      <c r="M12" s="337">
        <f t="shared" si="2"/>
        <v>32.17751</v>
      </c>
      <c r="N12" s="337">
        <f t="shared" si="3"/>
        <v>25.742008</v>
      </c>
      <c r="O12" s="336"/>
      <c r="P12" s="337"/>
      <c r="Q12" s="337"/>
      <c r="R12" s="337"/>
      <c r="S12" s="337">
        <f t="shared" si="4"/>
        <v>12.871004</v>
      </c>
      <c r="T12" s="336"/>
      <c r="U12" s="337"/>
      <c r="V12" s="337"/>
      <c r="W12" s="337"/>
      <c r="X12" s="337">
        <f t="shared" si="5"/>
        <v>10.2968032</v>
      </c>
      <c r="Y12" s="337">
        <f t="shared" si="6"/>
        <v>14.158104400000001</v>
      </c>
      <c r="Z12" s="336"/>
      <c r="AA12" s="337"/>
      <c r="AB12" s="337"/>
      <c r="AC12" s="337"/>
      <c r="AD12" s="337">
        <f t="shared" si="7"/>
        <v>12.871004</v>
      </c>
      <c r="AE12" s="336"/>
      <c r="AF12" s="337"/>
      <c r="AG12" s="337"/>
      <c r="AH12" s="337"/>
      <c r="AI12" s="337">
        <f t="shared" si="8"/>
        <v>18.0194056</v>
      </c>
      <c r="AJ12" s="336"/>
      <c r="AK12" s="337"/>
      <c r="AL12" s="337"/>
      <c r="AM12" s="337"/>
      <c r="AN12" s="337">
        <f t="shared" si="9"/>
        <v>14.158104400000001</v>
      </c>
      <c r="AO12" s="336"/>
      <c r="AP12" s="337"/>
      <c r="AQ12" s="337"/>
      <c r="AR12" s="337"/>
      <c r="AS12" s="337">
        <f t="shared" si="10"/>
        <v>16.7323052</v>
      </c>
      <c r="AT12" s="336"/>
      <c r="AU12" s="337"/>
      <c r="AV12" s="337"/>
      <c r="AW12" s="337"/>
      <c r="AX12" s="337">
        <f t="shared" si="11"/>
        <v>15.445204799999999</v>
      </c>
      <c r="AY12" s="336"/>
      <c r="AZ12" s="337"/>
      <c r="BA12" s="337"/>
      <c r="BB12" s="337"/>
      <c r="BC12" s="337">
        <f t="shared" si="12"/>
        <v>16.7323052</v>
      </c>
      <c r="BD12" s="336"/>
      <c r="BE12" s="337"/>
      <c r="BF12" s="337"/>
      <c r="BG12" s="337"/>
      <c r="BH12" s="337">
        <f t="shared" si="13"/>
        <v>16.7323052</v>
      </c>
      <c r="BI12" s="336"/>
      <c r="BJ12" s="337"/>
      <c r="BK12" s="337"/>
      <c r="BL12" s="337"/>
      <c r="BM12" s="337">
        <f t="shared" si="14"/>
        <v>20.5936064</v>
      </c>
      <c r="BN12" s="339"/>
      <c r="BO12" s="340"/>
      <c r="BP12" s="340"/>
      <c r="BQ12" s="340"/>
      <c r="BR12" s="340">
        <f t="shared" si="15"/>
        <v>15.445204799999999</v>
      </c>
      <c r="BS12" s="339"/>
      <c r="BT12" s="337"/>
      <c r="BU12" s="337"/>
      <c r="BV12" s="337"/>
    </row>
    <row r="13" spans="1:74" ht="12.75">
      <c r="A13" s="335" t="s">
        <v>627</v>
      </c>
      <c r="B13" s="336">
        <v>8</v>
      </c>
      <c r="C13" s="337">
        <f>B13*8.5/100+B13</f>
        <v>8.68</v>
      </c>
      <c r="D13" s="338">
        <f>C13*2.1/100+C13</f>
        <v>8.86228</v>
      </c>
      <c r="E13" s="337">
        <f>D13*1.6/100+D13</f>
        <v>9.00407648</v>
      </c>
      <c r="F13" s="359">
        <v>0.25</v>
      </c>
      <c r="G13" s="337">
        <f t="shared" si="0"/>
        <v>58.346352</v>
      </c>
      <c r="H13" s="336"/>
      <c r="I13" s="337">
        <f t="shared" si="1"/>
        <v>36.46647</v>
      </c>
      <c r="J13" s="337">
        <v>170</v>
      </c>
      <c r="K13" s="337">
        <v>172.21</v>
      </c>
      <c r="L13" s="337">
        <v>176.85</v>
      </c>
      <c r="M13" s="337">
        <f t="shared" si="2"/>
        <v>182.33235</v>
      </c>
      <c r="N13" s="337">
        <f t="shared" si="3"/>
        <v>145.86588</v>
      </c>
      <c r="O13" s="336"/>
      <c r="P13" s="337"/>
      <c r="Q13" s="337"/>
      <c r="R13" s="337"/>
      <c r="S13" s="337">
        <f t="shared" si="4"/>
        <v>72.93294</v>
      </c>
      <c r="T13" s="336"/>
      <c r="U13" s="337"/>
      <c r="V13" s="337"/>
      <c r="W13" s="337"/>
      <c r="X13" s="337">
        <f t="shared" si="5"/>
        <v>58.346352</v>
      </c>
      <c r="Y13" s="337">
        <f t="shared" si="6"/>
        <v>80.226234</v>
      </c>
      <c r="Z13" s="336"/>
      <c r="AA13" s="337"/>
      <c r="AB13" s="337"/>
      <c r="AC13" s="337"/>
      <c r="AD13" s="337">
        <f t="shared" si="7"/>
        <v>72.93294</v>
      </c>
      <c r="AE13" s="336"/>
      <c r="AF13" s="337"/>
      <c r="AG13" s="337"/>
      <c r="AH13" s="337"/>
      <c r="AI13" s="337">
        <f t="shared" si="8"/>
        <v>102.106116</v>
      </c>
      <c r="AJ13" s="336"/>
      <c r="AK13" s="337"/>
      <c r="AL13" s="337"/>
      <c r="AM13" s="337"/>
      <c r="AN13" s="337">
        <f t="shared" si="9"/>
        <v>80.226234</v>
      </c>
      <c r="AO13" s="336"/>
      <c r="AP13" s="337"/>
      <c r="AQ13" s="337"/>
      <c r="AR13" s="337"/>
      <c r="AS13" s="337">
        <f t="shared" si="10"/>
        <v>94.81282200000001</v>
      </c>
      <c r="AT13" s="336"/>
      <c r="AU13" s="337"/>
      <c r="AV13" s="337"/>
      <c r="AW13" s="337"/>
      <c r="AX13" s="337">
        <f t="shared" si="11"/>
        <v>87.519528</v>
      </c>
      <c r="AY13" s="336"/>
      <c r="AZ13" s="337"/>
      <c r="BA13" s="337"/>
      <c r="BB13" s="337"/>
      <c r="BC13" s="337">
        <f t="shared" si="12"/>
        <v>94.81282200000001</v>
      </c>
      <c r="BD13" s="336"/>
      <c r="BE13" s="337"/>
      <c r="BF13" s="337"/>
      <c r="BG13" s="337"/>
      <c r="BH13" s="337">
        <f t="shared" si="13"/>
        <v>94.81282200000001</v>
      </c>
      <c r="BI13" s="336"/>
      <c r="BJ13" s="337"/>
      <c r="BK13" s="337"/>
      <c r="BL13" s="337"/>
      <c r="BM13" s="337">
        <f t="shared" si="14"/>
        <v>116.692704</v>
      </c>
      <c r="BN13" s="339"/>
      <c r="BO13" s="340"/>
      <c r="BP13" s="340"/>
      <c r="BQ13" s="340"/>
      <c r="BR13" s="340">
        <f t="shared" si="15"/>
        <v>87.519528</v>
      </c>
      <c r="BS13" s="339"/>
      <c r="BT13" s="337"/>
      <c r="BU13" s="337"/>
      <c r="BV13" s="337"/>
    </row>
    <row r="14" spans="1:74" ht="12.75">
      <c r="A14" s="335" t="s">
        <v>628</v>
      </c>
      <c r="B14" s="336"/>
      <c r="C14" s="337"/>
      <c r="D14" s="338"/>
      <c r="E14" s="337"/>
      <c r="F14" s="359">
        <v>0.25</v>
      </c>
      <c r="G14" s="337">
        <f t="shared" si="0"/>
        <v>10.2968032</v>
      </c>
      <c r="H14" s="336"/>
      <c r="I14" s="337">
        <f t="shared" si="1"/>
        <v>6.435502</v>
      </c>
      <c r="J14" s="337">
        <v>30</v>
      </c>
      <c r="K14" s="337">
        <v>30.39</v>
      </c>
      <c r="L14" s="337">
        <v>31.21</v>
      </c>
      <c r="M14" s="337">
        <f t="shared" si="2"/>
        <v>32.17751</v>
      </c>
      <c r="N14" s="337">
        <f t="shared" si="3"/>
        <v>25.742008</v>
      </c>
      <c r="O14" s="336"/>
      <c r="P14" s="337"/>
      <c r="Q14" s="337"/>
      <c r="R14" s="337"/>
      <c r="S14" s="337">
        <f t="shared" si="4"/>
        <v>12.871004</v>
      </c>
      <c r="T14" s="336"/>
      <c r="U14" s="337"/>
      <c r="V14" s="337"/>
      <c r="W14" s="337"/>
      <c r="X14" s="337">
        <f t="shared" si="5"/>
        <v>10.2968032</v>
      </c>
      <c r="Y14" s="337">
        <f t="shared" si="6"/>
        <v>14.158104400000001</v>
      </c>
      <c r="Z14" s="336"/>
      <c r="AA14" s="337"/>
      <c r="AB14" s="337"/>
      <c r="AC14" s="337"/>
      <c r="AD14" s="337">
        <f t="shared" si="7"/>
        <v>12.871004</v>
      </c>
      <c r="AE14" s="336"/>
      <c r="AF14" s="337"/>
      <c r="AG14" s="337"/>
      <c r="AH14" s="337"/>
      <c r="AI14" s="337">
        <f t="shared" si="8"/>
        <v>18.0194056</v>
      </c>
      <c r="AJ14" s="336"/>
      <c r="AK14" s="337"/>
      <c r="AL14" s="337"/>
      <c r="AM14" s="337"/>
      <c r="AN14" s="337">
        <f t="shared" si="9"/>
        <v>14.158104400000001</v>
      </c>
      <c r="AO14" s="336"/>
      <c r="AP14" s="337"/>
      <c r="AQ14" s="337"/>
      <c r="AR14" s="337"/>
      <c r="AS14" s="337">
        <f t="shared" si="10"/>
        <v>16.7323052</v>
      </c>
      <c r="AT14" s="336"/>
      <c r="AU14" s="337"/>
      <c r="AV14" s="337"/>
      <c r="AW14" s="337"/>
      <c r="AX14" s="337">
        <f t="shared" si="11"/>
        <v>15.445204799999999</v>
      </c>
      <c r="AY14" s="336"/>
      <c r="AZ14" s="337"/>
      <c r="BA14" s="337"/>
      <c r="BB14" s="337"/>
      <c r="BC14" s="337">
        <f t="shared" si="12"/>
        <v>16.7323052</v>
      </c>
      <c r="BD14" s="336"/>
      <c r="BE14" s="337"/>
      <c r="BF14" s="337"/>
      <c r="BG14" s="337"/>
      <c r="BH14" s="337">
        <f t="shared" si="13"/>
        <v>16.7323052</v>
      </c>
      <c r="BI14" s="336"/>
      <c r="BJ14" s="337"/>
      <c r="BK14" s="337"/>
      <c r="BL14" s="337"/>
      <c r="BM14" s="337">
        <f t="shared" si="14"/>
        <v>20.5936064</v>
      </c>
      <c r="BN14" s="339"/>
      <c r="BO14" s="340"/>
      <c r="BP14" s="340"/>
      <c r="BQ14" s="340"/>
      <c r="BR14" s="340">
        <f t="shared" si="15"/>
        <v>15.445204799999999</v>
      </c>
      <c r="BS14" s="339"/>
      <c r="BT14" s="337"/>
      <c r="BU14" s="337"/>
      <c r="BV14" s="337"/>
    </row>
    <row r="15" spans="1:74" ht="12.75">
      <c r="A15" s="335" t="s">
        <v>629</v>
      </c>
      <c r="B15" s="336">
        <v>11</v>
      </c>
      <c r="C15" s="337">
        <f>B15*8.5/100+B15</f>
        <v>11.935</v>
      </c>
      <c r="D15" s="338">
        <f>C15*2.1/100+C15</f>
        <v>12.185635000000001</v>
      </c>
      <c r="E15" s="337">
        <f>D15*1.6/100+D15</f>
        <v>12.380605160000002</v>
      </c>
      <c r="F15" s="359"/>
      <c r="G15" s="337">
        <f t="shared" si="0"/>
        <v>34.321577600000005</v>
      </c>
      <c r="H15" s="336"/>
      <c r="I15" s="337">
        <f t="shared" si="1"/>
        <v>21.450986</v>
      </c>
      <c r="J15" s="337">
        <v>100</v>
      </c>
      <c r="K15" s="337">
        <v>101.3</v>
      </c>
      <c r="L15" s="337">
        <v>104.03</v>
      </c>
      <c r="M15" s="337">
        <f t="shared" si="2"/>
        <v>107.25493</v>
      </c>
      <c r="N15" s="337">
        <f t="shared" si="3"/>
        <v>85.803944</v>
      </c>
      <c r="O15" s="336"/>
      <c r="P15" s="337"/>
      <c r="Q15" s="337"/>
      <c r="R15" s="337"/>
      <c r="S15" s="337">
        <f t="shared" si="4"/>
        <v>42.901972</v>
      </c>
      <c r="T15" s="336"/>
      <c r="U15" s="337"/>
      <c r="V15" s="337"/>
      <c r="W15" s="337"/>
      <c r="X15" s="337">
        <f t="shared" si="5"/>
        <v>34.321577600000005</v>
      </c>
      <c r="Y15" s="337">
        <f t="shared" si="6"/>
        <v>47.1921692</v>
      </c>
      <c r="Z15" s="336"/>
      <c r="AA15" s="337"/>
      <c r="AB15" s="337"/>
      <c r="AC15" s="337"/>
      <c r="AD15" s="337">
        <f t="shared" si="7"/>
        <v>42.901972</v>
      </c>
      <c r="AE15" s="336"/>
      <c r="AF15" s="337"/>
      <c r="AG15" s="337"/>
      <c r="AH15" s="337"/>
      <c r="AI15" s="337">
        <f t="shared" si="8"/>
        <v>60.0627608</v>
      </c>
      <c r="AJ15" s="336"/>
      <c r="AK15" s="337"/>
      <c r="AL15" s="337"/>
      <c r="AM15" s="337"/>
      <c r="AN15" s="337">
        <f t="shared" si="9"/>
        <v>47.1921692</v>
      </c>
      <c r="AO15" s="336"/>
      <c r="AP15" s="337"/>
      <c r="AQ15" s="337"/>
      <c r="AR15" s="337"/>
      <c r="AS15" s="337">
        <f t="shared" si="10"/>
        <v>55.772563600000005</v>
      </c>
      <c r="AT15" s="336"/>
      <c r="AU15" s="337"/>
      <c r="AV15" s="337"/>
      <c r="AW15" s="337"/>
      <c r="AX15" s="337">
        <f t="shared" si="11"/>
        <v>51.4823664</v>
      </c>
      <c r="AY15" s="336"/>
      <c r="AZ15" s="337"/>
      <c r="BA15" s="337"/>
      <c r="BB15" s="337"/>
      <c r="BC15" s="337">
        <f t="shared" si="12"/>
        <v>55.772563600000005</v>
      </c>
      <c r="BD15" s="336"/>
      <c r="BE15" s="337"/>
      <c r="BF15" s="337"/>
      <c r="BG15" s="337"/>
      <c r="BH15" s="337">
        <f t="shared" si="13"/>
        <v>55.772563600000005</v>
      </c>
      <c r="BI15" s="336"/>
      <c r="BJ15" s="337"/>
      <c r="BK15" s="337"/>
      <c r="BL15" s="337"/>
      <c r="BM15" s="337">
        <f t="shared" si="14"/>
        <v>68.64315520000001</v>
      </c>
      <c r="BN15" s="339"/>
      <c r="BO15" s="340"/>
      <c r="BP15" s="340"/>
      <c r="BQ15" s="340"/>
      <c r="BR15" s="340">
        <f t="shared" si="15"/>
        <v>51.4823664</v>
      </c>
      <c r="BS15" s="339"/>
      <c r="BT15" s="337"/>
      <c r="BU15" s="337"/>
      <c r="BV15" s="337"/>
    </row>
    <row r="16" spans="1:74" ht="12.75">
      <c r="A16" s="335" t="s">
        <v>630</v>
      </c>
      <c r="B16" s="336"/>
      <c r="C16" s="337"/>
      <c r="D16" s="338"/>
      <c r="E16" s="337"/>
      <c r="F16" s="359"/>
      <c r="G16" s="337">
        <f t="shared" si="0"/>
        <v>0</v>
      </c>
      <c r="H16" s="336"/>
      <c r="I16" s="337">
        <f t="shared" si="1"/>
        <v>0</v>
      </c>
      <c r="J16" s="337"/>
      <c r="K16" s="337"/>
      <c r="L16" s="337"/>
      <c r="M16" s="337">
        <f t="shared" si="2"/>
        <v>0</v>
      </c>
      <c r="N16" s="337"/>
      <c r="O16" s="336"/>
      <c r="P16" s="337"/>
      <c r="Q16" s="337"/>
      <c r="R16" s="337"/>
      <c r="S16" s="337">
        <f t="shared" si="4"/>
        <v>0</v>
      </c>
      <c r="T16" s="336"/>
      <c r="U16" s="337"/>
      <c r="V16" s="337"/>
      <c r="W16" s="337"/>
      <c r="X16" s="337">
        <f t="shared" si="5"/>
        <v>0</v>
      </c>
      <c r="Y16" s="337">
        <f t="shared" si="6"/>
        <v>0</v>
      </c>
      <c r="Z16" s="336"/>
      <c r="AA16" s="337"/>
      <c r="AB16" s="337"/>
      <c r="AC16" s="337"/>
      <c r="AD16" s="337">
        <f t="shared" si="7"/>
        <v>0</v>
      </c>
      <c r="AE16" s="336"/>
      <c r="AF16" s="337"/>
      <c r="AG16" s="337"/>
      <c r="AH16" s="337"/>
      <c r="AI16" s="337">
        <f t="shared" si="8"/>
        <v>0</v>
      </c>
      <c r="AJ16" s="336"/>
      <c r="AK16" s="337"/>
      <c r="AL16" s="337"/>
      <c r="AM16" s="337"/>
      <c r="AN16" s="337">
        <f t="shared" si="9"/>
        <v>0</v>
      </c>
      <c r="AO16" s="336"/>
      <c r="AP16" s="337"/>
      <c r="AQ16" s="337"/>
      <c r="AR16" s="337"/>
      <c r="AS16" s="337">
        <f t="shared" si="10"/>
        <v>0</v>
      </c>
      <c r="AT16" s="336"/>
      <c r="AU16" s="337"/>
      <c r="AV16" s="337"/>
      <c r="AW16" s="337"/>
      <c r="AX16" s="337">
        <f t="shared" si="11"/>
        <v>0</v>
      </c>
      <c r="AY16" s="336"/>
      <c r="AZ16" s="337"/>
      <c r="BA16" s="337"/>
      <c r="BB16" s="337"/>
      <c r="BC16" s="337">
        <f t="shared" si="12"/>
        <v>0</v>
      </c>
      <c r="BD16" s="336"/>
      <c r="BE16" s="337"/>
      <c r="BF16" s="337"/>
      <c r="BG16" s="337"/>
      <c r="BH16" s="337">
        <f t="shared" si="13"/>
        <v>0</v>
      </c>
      <c r="BI16" s="336"/>
      <c r="BJ16" s="337"/>
      <c r="BK16" s="337"/>
      <c r="BL16" s="337"/>
      <c r="BM16" s="337">
        <f t="shared" si="14"/>
        <v>0</v>
      </c>
      <c r="BN16" s="339"/>
      <c r="BO16" s="340"/>
      <c r="BP16" s="340"/>
      <c r="BQ16" s="340"/>
      <c r="BR16" s="340">
        <f t="shared" si="15"/>
        <v>0</v>
      </c>
      <c r="BS16" s="339"/>
      <c r="BT16" s="337"/>
      <c r="BU16" s="337"/>
      <c r="BV16" s="337"/>
    </row>
    <row r="17" spans="1:74" ht="12.75">
      <c r="A17" s="335" t="s">
        <v>631</v>
      </c>
      <c r="B17" s="336">
        <v>14</v>
      </c>
      <c r="C17" s="337">
        <f>B17*8.5/100+B17</f>
        <v>15.19</v>
      </c>
      <c r="D17" s="338">
        <f>C17*2.1/100+C17</f>
        <v>15.508989999999999</v>
      </c>
      <c r="E17" s="337">
        <f>D17*1.6/100+D17</f>
        <v>15.757133839999998</v>
      </c>
      <c r="F17" s="359"/>
      <c r="G17" s="337">
        <f t="shared" si="0"/>
        <v>20.5936064</v>
      </c>
      <c r="H17" s="336"/>
      <c r="I17" s="337">
        <f t="shared" si="1"/>
        <v>12.871004</v>
      </c>
      <c r="J17" s="337">
        <v>60</v>
      </c>
      <c r="K17" s="337">
        <v>60.78</v>
      </c>
      <c r="L17" s="337">
        <v>62.42</v>
      </c>
      <c r="M17" s="337">
        <f t="shared" si="2"/>
        <v>64.35502</v>
      </c>
      <c r="N17" s="337">
        <f>M17-I17</f>
        <v>51.484016</v>
      </c>
      <c r="O17" s="336"/>
      <c r="P17" s="337"/>
      <c r="Q17" s="337"/>
      <c r="R17" s="337"/>
      <c r="S17" s="337">
        <f t="shared" si="4"/>
        <v>25.742008</v>
      </c>
      <c r="T17" s="336"/>
      <c r="U17" s="337"/>
      <c r="V17" s="337"/>
      <c r="W17" s="337"/>
      <c r="X17" s="337">
        <f t="shared" si="5"/>
        <v>20.5936064</v>
      </c>
      <c r="Y17" s="337">
        <f t="shared" si="6"/>
        <v>28.316208800000002</v>
      </c>
      <c r="Z17" s="336"/>
      <c r="AA17" s="337"/>
      <c r="AB17" s="337"/>
      <c r="AC17" s="337"/>
      <c r="AD17" s="337">
        <f t="shared" si="7"/>
        <v>25.742008</v>
      </c>
      <c r="AE17" s="336"/>
      <c r="AF17" s="337"/>
      <c r="AG17" s="337"/>
      <c r="AH17" s="337"/>
      <c r="AI17" s="337">
        <f t="shared" si="8"/>
        <v>36.0388112</v>
      </c>
      <c r="AJ17" s="336"/>
      <c r="AK17" s="337"/>
      <c r="AL17" s="337"/>
      <c r="AM17" s="337"/>
      <c r="AN17" s="337">
        <f t="shared" si="9"/>
        <v>28.316208800000002</v>
      </c>
      <c r="AO17" s="336"/>
      <c r="AP17" s="337"/>
      <c r="AQ17" s="337"/>
      <c r="AR17" s="337"/>
      <c r="AS17" s="337">
        <f t="shared" si="10"/>
        <v>33.4646104</v>
      </c>
      <c r="AT17" s="336"/>
      <c r="AU17" s="337"/>
      <c r="AV17" s="337"/>
      <c r="AW17" s="337"/>
      <c r="AX17" s="337">
        <f t="shared" si="11"/>
        <v>30.890409599999998</v>
      </c>
      <c r="AY17" s="336"/>
      <c r="AZ17" s="337"/>
      <c r="BA17" s="337"/>
      <c r="BB17" s="337"/>
      <c r="BC17" s="337">
        <f t="shared" si="12"/>
        <v>33.4646104</v>
      </c>
      <c r="BD17" s="336"/>
      <c r="BE17" s="337"/>
      <c r="BF17" s="337"/>
      <c r="BG17" s="337"/>
      <c r="BH17" s="337">
        <f t="shared" si="13"/>
        <v>33.4646104</v>
      </c>
      <c r="BI17" s="336"/>
      <c r="BJ17" s="337"/>
      <c r="BK17" s="337"/>
      <c r="BL17" s="337"/>
      <c r="BM17" s="337">
        <f t="shared" si="14"/>
        <v>41.1872128</v>
      </c>
      <c r="BN17" s="339"/>
      <c r="BO17" s="340"/>
      <c r="BP17" s="340"/>
      <c r="BQ17" s="340"/>
      <c r="BR17" s="340">
        <f t="shared" si="15"/>
        <v>30.890409599999998</v>
      </c>
      <c r="BS17" s="339"/>
      <c r="BT17" s="337"/>
      <c r="BU17" s="337"/>
      <c r="BV17" s="337"/>
    </row>
    <row r="18" spans="1:74" ht="12.75">
      <c r="A18" s="360" t="s">
        <v>632</v>
      </c>
      <c r="F18" s="359"/>
      <c r="G18" s="337">
        <v>25.065672000000003</v>
      </c>
      <c r="H18" s="336"/>
      <c r="I18" s="337"/>
      <c r="J18" s="337"/>
      <c r="K18" s="337" t="s">
        <v>569</v>
      </c>
      <c r="L18" s="337" t="s">
        <v>569</v>
      </c>
      <c r="M18" s="337" t="e">
        <f t="shared" si="2"/>
        <v>#VALUE!</v>
      </c>
      <c r="N18" s="337" t="s">
        <v>633</v>
      </c>
      <c r="O18" s="337" t="e">
        <v>#VALUE!</v>
      </c>
      <c r="P18" s="337" t="e">
        <v>#VALUE!</v>
      </c>
      <c r="Q18" s="337" t="e">
        <v>#VALUE!</v>
      </c>
      <c r="R18" s="337" t="e">
        <v>#VALUE!</v>
      </c>
      <c r="S18" s="337">
        <v>31.33209</v>
      </c>
      <c r="T18" s="336" t="e">
        <v>#VALUE!</v>
      </c>
      <c r="U18" s="337" t="e">
        <v>#VALUE!</v>
      </c>
      <c r="V18" s="337" t="e">
        <v>#VALUE!</v>
      </c>
      <c r="W18" s="337" t="e">
        <v>#VALUE!</v>
      </c>
      <c r="X18" s="337">
        <v>25.065672000000003</v>
      </c>
      <c r="Y18" s="337">
        <v>34.465299</v>
      </c>
      <c r="Z18" s="336" t="e">
        <v>#VALUE!</v>
      </c>
      <c r="AA18" s="337" t="e">
        <v>#VALUE!</v>
      </c>
      <c r="AB18" s="337" t="e">
        <v>#VALUE!</v>
      </c>
      <c r="AC18" s="337" t="e">
        <v>#VALUE!</v>
      </c>
      <c r="AD18" s="337">
        <v>31.33209</v>
      </c>
      <c r="AE18" s="336" t="e">
        <v>#VALUE!</v>
      </c>
      <c r="AF18" s="337" t="e">
        <v>#VALUE!</v>
      </c>
      <c r="AG18" s="337" t="e">
        <v>#VALUE!</v>
      </c>
      <c r="AH18" s="337" t="e">
        <v>#VALUE!</v>
      </c>
      <c r="AI18" s="337">
        <v>43.864926</v>
      </c>
      <c r="AJ18" s="336" t="e">
        <v>#VALUE!</v>
      </c>
      <c r="AK18" s="337" t="e">
        <v>#VALUE!</v>
      </c>
      <c r="AL18" s="337" t="e">
        <v>#VALUE!</v>
      </c>
      <c r="AM18" s="337" t="e">
        <v>#VALUE!</v>
      </c>
      <c r="AN18" s="337">
        <v>34.465299</v>
      </c>
      <c r="AO18" s="336" t="e">
        <v>#VALUE!</v>
      </c>
      <c r="AP18" s="337" t="e">
        <v>#VALUE!</v>
      </c>
      <c r="AQ18" s="337" t="e">
        <v>#VALUE!</v>
      </c>
      <c r="AR18" s="337" t="e">
        <v>#VALUE!</v>
      </c>
      <c r="AS18" s="337">
        <v>40.731716999999996</v>
      </c>
      <c r="AT18" s="336" t="e">
        <v>#VALUE!</v>
      </c>
      <c r="AU18" s="337" t="e">
        <v>#VALUE!</v>
      </c>
      <c r="AV18" s="337" t="e">
        <v>#VALUE!</v>
      </c>
      <c r="AW18" s="337" t="e">
        <v>#VALUE!</v>
      </c>
      <c r="AX18" s="337">
        <v>37.598508</v>
      </c>
      <c r="AY18" s="336" t="e">
        <v>#VALUE!</v>
      </c>
      <c r="AZ18" s="337" t="e">
        <v>#VALUE!</v>
      </c>
      <c r="BA18" s="337" t="e">
        <v>#VALUE!</v>
      </c>
      <c r="BB18" s="337" t="e">
        <v>#VALUE!</v>
      </c>
      <c r="BC18" s="337">
        <v>40.731716999999996</v>
      </c>
      <c r="BD18" s="336" t="e">
        <v>#VALUE!</v>
      </c>
      <c r="BE18" s="337" t="e">
        <v>#VALUE!</v>
      </c>
      <c r="BF18" s="337" t="e">
        <v>#VALUE!</v>
      </c>
      <c r="BG18" s="337" t="e">
        <v>#VALUE!</v>
      </c>
      <c r="BH18" s="337">
        <v>40.731716999999996</v>
      </c>
      <c r="BI18" s="336" t="e">
        <v>#VALUE!</v>
      </c>
      <c r="BJ18" s="337" t="e">
        <v>#VALUE!</v>
      </c>
      <c r="BK18" s="337" t="e">
        <v>#VALUE!</v>
      </c>
      <c r="BL18" s="337" t="e">
        <v>#VALUE!</v>
      </c>
      <c r="BM18" s="337">
        <v>50.131344000000006</v>
      </c>
      <c r="BN18" s="339" t="e">
        <v>#VALUE!</v>
      </c>
      <c r="BO18" s="340" t="e">
        <v>#VALUE!</v>
      </c>
      <c r="BP18" s="340" t="e">
        <v>#VALUE!</v>
      </c>
      <c r="BQ18" s="340" t="e">
        <v>#VALUE!</v>
      </c>
      <c r="BR18" s="340">
        <v>37.598508</v>
      </c>
      <c r="BS18" s="339"/>
      <c r="BT18" s="337"/>
      <c r="BU18" s="337"/>
      <c r="BV18" s="337"/>
    </row>
    <row r="19" spans="1:74" ht="12.75">
      <c r="A19" s="335" t="s">
        <v>634</v>
      </c>
      <c r="B19" s="336"/>
      <c r="C19" s="337"/>
      <c r="D19" s="338"/>
      <c r="E19" s="337"/>
      <c r="F19" s="359">
        <v>0.45</v>
      </c>
      <c r="G19" s="337">
        <f>N19*0.4</f>
        <v>6.862336000000001</v>
      </c>
      <c r="H19" s="336"/>
      <c r="I19" s="337">
        <f>M19*$I$4</f>
        <v>4.28896</v>
      </c>
      <c r="J19" s="337">
        <v>20</v>
      </c>
      <c r="K19" s="337">
        <v>20.26</v>
      </c>
      <c r="L19" s="337">
        <v>20.8</v>
      </c>
      <c r="M19" s="337">
        <f t="shared" si="2"/>
        <v>21.4448</v>
      </c>
      <c r="N19" s="337">
        <f>M19-I19</f>
        <v>17.15584</v>
      </c>
      <c r="O19" s="336"/>
      <c r="P19" s="337"/>
      <c r="Q19" s="337"/>
      <c r="R19" s="337"/>
      <c r="S19" s="337">
        <f>N19*0.5</f>
        <v>8.57792</v>
      </c>
      <c r="T19" s="336"/>
      <c r="U19" s="337"/>
      <c r="V19" s="337"/>
      <c r="W19" s="337"/>
      <c r="X19" s="337">
        <f>N19*0.4</f>
        <v>6.862336000000001</v>
      </c>
      <c r="Y19" s="337">
        <f>N19*0.55</f>
        <v>9.435712000000002</v>
      </c>
      <c r="Z19" s="336"/>
      <c r="AA19" s="337"/>
      <c r="AB19" s="337"/>
      <c r="AC19" s="337"/>
      <c r="AD19" s="337">
        <f>N19*0.5</f>
        <v>8.57792</v>
      </c>
      <c r="AE19" s="336"/>
      <c r="AF19" s="337"/>
      <c r="AG19" s="337"/>
      <c r="AH19" s="337"/>
      <c r="AI19" s="337">
        <f>N19*0.7</f>
        <v>12.009088</v>
      </c>
      <c r="AJ19" s="336"/>
      <c r="AK19" s="337"/>
      <c r="AL19" s="337"/>
      <c r="AM19" s="337"/>
      <c r="AN19" s="337">
        <f>N19*0.55</f>
        <v>9.435712000000002</v>
      </c>
      <c r="AO19" s="336"/>
      <c r="AP19" s="337"/>
      <c r="AQ19" s="337"/>
      <c r="AR19" s="337"/>
      <c r="AS19" s="337">
        <f>N19*0.65</f>
        <v>11.151296000000002</v>
      </c>
      <c r="AT19" s="336"/>
      <c r="AU19" s="337"/>
      <c r="AV19" s="337"/>
      <c r="AW19" s="337"/>
      <c r="AX19" s="337">
        <f>N19*0.6</f>
        <v>10.293504</v>
      </c>
      <c r="AY19" s="336"/>
      <c r="AZ19" s="337"/>
      <c r="BA19" s="337"/>
      <c r="BB19" s="337"/>
      <c r="BC19" s="337">
        <f>N19*0.65</f>
        <v>11.151296000000002</v>
      </c>
      <c r="BD19" s="336"/>
      <c r="BE19" s="337"/>
      <c r="BF19" s="337"/>
      <c r="BG19" s="337"/>
      <c r="BH19" s="337">
        <f>N19*0.65</f>
        <v>11.151296000000002</v>
      </c>
      <c r="BI19" s="336"/>
      <c r="BJ19" s="337"/>
      <c r="BK19" s="337"/>
      <c r="BL19" s="337"/>
      <c r="BM19" s="337">
        <f>N19*0.8</f>
        <v>13.724672000000002</v>
      </c>
      <c r="BN19" s="339"/>
      <c r="BO19" s="340"/>
      <c r="BP19" s="340"/>
      <c r="BQ19" s="340"/>
      <c r="BR19" s="340">
        <f>N19*0.6</f>
        <v>10.293504</v>
      </c>
      <c r="BS19" s="339"/>
      <c r="BT19" s="337"/>
      <c r="BU19" s="337"/>
      <c r="BV19" s="337"/>
    </row>
    <row r="20" spans="1:74" ht="12.75">
      <c r="A20" s="335" t="s">
        <v>635</v>
      </c>
      <c r="B20" s="336"/>
      <c r="C20" s="337"/>
      <c r="D20" s="338"/>
      <c r="E20" s="337"/>
      <c r="F20" s="359">
        <v>0.45</v>
      </c>
      <c r="G20" s="337">
        <f>N20*0.4</f>
        <v>3.4311680000000004</v>
      </c>
      <c r="H20" s="336"/>
      <c r="I20" s="337">
        <f>M20*$I$4</f>
        <v>2.14448</v>
      </c>
      <c r="J20" s="337">
        <v>10</v>
      </c>
      <c r="K20" s="337">
        <v>10.13</v>
      </c>
      <c r="L20" s="337">
        <v>10.4</v>
      </c>
      <c r="M20" s="337">
        <f t="shared" si="2"/>
        <v>10.7224</v>
      </c>
      <c r="N20" s="337">
        <f>M20-I20</f>
        <v>8.57792</v>
      </c>
      <c r="O20" s="336"/>
      <c r="P20" s="337"/>
      <c r="Q20" s="337"/>
      <c r="R20" s="337"/>
      <c r="S20" s="337">
        <f>N20*0.5</f>
        <v>4.28896</v>
      </c>
      <c r="T20" s="336"/>
      <c r="U20" s="337"/>
      <c r="V20" s="337"/>
      <c r="W20" s="337"/>
      <c r="X20" s="337">
        <f>N20*0.4</f>
        <v>3.4311680000000004</v>
      </c>
      <c r="Y20" s="337">
        <f>N20*0.55</f>
        <v>4.717856000000001</v>
      </c>
      <c r="Z20" s="336"/>
      <c r="AA20" s="337"/>
      <c r="AB20" s="337"/>
      <c r="AC20" s="337"/>
      <c r="AD20" s="337">
        <f>N20*0.5</f>
        <v>4.28896</v>
      </c>
      <c r="AE20" s="336"/>
      <c r="AF20" s="337"/>
      <c r="AG20" s="337"/>
      <c r="AH20" s="337"/>
      <c r="AI20" s="337">
        <f>N20*0.7</f>
        <v>6.004544</v>
      </c>
      <c r="AJ20" s="336"/>
      <c r="AK20" s="337"/>
      <c r="AL20" s="337"/>
      <c r="AM20" s="337"/>
      <c r="AN20" s="337">
        <f>N20*0.55</f>
        <v>4.717856000000001</v>
      </c>
      <c r="AO20" s="336"/>
      <c r="AP20" s="337"/>
      <c r="AQ20" s="337"/>
      <c r="AR20" s="337"/>
      <c r="AS20" s="337">
        <f>N20*0.65</f>
        <v>5.575648000000001</v>
      </c>
      <c r="AT20" s="336"/>
      <c r="AU20" s="337"/>
      <c r="AV20" s="337"/>
      <c r="AW20" s="337"/>
      <c r="AX20" s="337">
        <f>N20*0.6</f>
        <v>5.146752</v>
      </c>
      <c r="AY20" s="336"/>
      <c r="AZ20" s="337"/>
      <c r="BA20" s="337"/>
      <c r="BB20" s="337"/>
      <c r="BC20" s="337">
        <f>N20*0.65</f>
        <v>5.575648000000001</v>
      </c>
      <c r="BD20" s="336"/>
      <c r="BE20" s="337"/>
      <c r="BF20" s="337"/>
      <c r="BG20" s="337"/>
      <c r="BH20" s="337">
        <f>N20*0.65</f>
        <v>5.575648000000001</v>
      </c>
      <c r="BI20" s="336"/>
      <c r="BJ20" s="337"/>
      <c r="BK20" s="337"/>
      <c r="BL20" s="337"/>
      <c r="BM20" s="337">
        <f>N20*0.8</f>
        <v>6.862336000000001</v>
      </c>
      <c r="BN20" s="339"/>
      <c r="BO20" s="340"/>
      <c r="BP20" s="340"/>
      <c r="BQ20" s="340"/>
      <c r="BR20" s="340">
        <f>N20*0.6</f>
        <v>5.146752</v>
      </c>
      <c r="BS20" s="339"/>
      <c r="BT20" s="337"/>
      <c r="BU20" s="337"/>
      <c r="BV20" s="337"/>
    </row>
    <row r="21" spans="1:74" ht="12.75">
      <c r="A21" s="335" t="s">
        <v>636</v>
      </c>
      <c r="B21" s="336"/>
      <c r="C21" s="337"/>
      <c r="D21" s="338"/>
      <c r="E21" s="337"/>
      <c r="F21" s="359">
        <v>0.45</v>
      </c>
      <c r="G21" s="337">
        <f>N21*0.4</f>
        <v>15.4435552</v>
      </c>
      <c r="H21" s="336"/>
      <c r="I21" s="337">
        <f>M21*$I$4</f>
        <v>9.652222000000002</v>
      </c>
      <c r="J21" s="337">
        <v>45</v>
      </c>
      <c r="K21" s="337">
        <v>45.585</v>
      </c>
      <c r="L21" s="337">
        <v>46.81</v>
      </c>
      <c r="M21" s="337">
        <f t="shared" si="2"/>
        <v>48.26111</v>
      </c>
      <c r="N21" s="337">
        <f>M21-I21</f>
        <v>38.608888</v>
      </c>
      <c r="O21" s="336"/>
      <c r="P21" s="337"/>
      <c r="Q21" s="337"/>
      <c r="R21" s="337"/>
      <c r="S21" s="337">
        <f>N21*0.5</f>
        <v>19.304444</v>
      </c>
      <c r="T21" s="336"/>
      <c r="U21" s="337"/>
      <c r="V21" s="337"/>
      <c r="W21" s="337"/>
      <c r="X21" s="337">
        <f>N21*0.4</f>
        <v>15.4435552</v>
      </c>
      <c r="Y21" s="337">
        <f>N21*0.55</f>
        <v>21.234888400000003</v>
      </c>
      <c r="Z21" s="336"/>
      <c r="AA21" s="337"/>
      <c r="AB21" s="337"/>
      <c r="AC21" s="337"/>
      <c r="AD21" s="337">
        <f>N21*0.5</f>
        <v>19.304444</v>
      </c>
      <c r="AE21" s="336"/>
      <c r="AF21" s="337"/>
      <c r="AG21" s="337"/>
      <c r="AH21" s="337"/>
      <c r="AI21" s="337">
        <f>N21*0.7</f>
        <v>27.0262216</v>
      </c>
      <c r="AJ21" s="336"/>
      <c r="AK21" s="337"/>
      <c r="AL21" s="337"/>
      <c r="AM21" s="337"/>
      <c r="AN21" s="337">
        <f>N21*0.55</f>
        <v>21.234888400000003</v>
      </c>
      <c r="AO21" s="336"/>
      <c r="AP21" s="337"/>
      <c r="AQ21" s="337"/>
      <c r="AR21" s="337"/>
      <c r="AS21" s="337">
        <f>N21*0.65</f>
        <v>25.0957772</v>
      </c>
      <c r="AT21" s="336"/>
      <c r="AU21" s="337"/>
      <c r="AV21" s="337"/>
      <c r="AW21" s="337"/>
      <c r="AX21" s="337">
        <f>N21*0.6</f>
        <v>23.165332799999998</v>
      </c>
      <c r="AY21" s="336"/>
      <c r="AZ21" s="337"/>
      <c r="BA21" s="337"/>
      <c r="BB21" s="337"/>
      <c r="BC21" s="337">
        <f>N21*0.65</f>
        <v>25.0957772</v>
      </c>
      <c r="BD21" s="336"/>
      <c r="BE21" s="337"/>
      <c r="BF21" s="337"/>
      <c r="BG21" s="337"/>
      <c r="BH21" s="337">
        <f>N21*0.65</f>
        <v>25.0957772</v>
      </c>
      <c r="BI21" s="336"/>
      <c r="BJ21" s="337"/>
      <c r="BK21" s="337"/>
      <c r="BL21" s="337"/>
      <c r="BM21" s="337">
        <f>N21*0.8</f>
        <v>30.8871104</v>
      </c>
      <c r="BN21" s="339"/>
      <c r="BO21" s="340"/>
      <c r="BP21" s="340"/>
      <c r="BQ21" s="340"/>
      <c r="BR21" s="340">
        <f>N21*0.6</f>
        <v>23.165332799999998</v>
      </c>
      <c r="BS21" s="339"/>
      <c r="BT21" s="337"/>
      <c r="BU21" s="337"/>
      <c r="BV21" s="337"/>
    </row>
    <row r="22" spans="1:74" ht="12.75">
      <c r="A22" s="335" t="s">
        <v>637</v>
      </c>
      <c r="B22" s="336"/>
      <c r="C22" s="337"/>
      <c r="D22" s="338"/>
      <c r="E22" s="337"/>
      <c r="F22" s="359">
        <v>0.45</v>
      </c>
      <c r="G22" s="337">
        <f>N22*0.4</f>
        <v>20.5936064</v>
      </c>
      <c r="H22" s="336"/>
      <c r="I22" s="337">
        <f>M22*$I$4</f>
        <v>12.871004</v>
      </c>
      <c r="J22" s="337">
        <v>60</v>
      </c>
      <c r="K22" s="337">
        <v>60.78</v>
      </c>
      <c r="L22" s="337">
        <v>62.42</v>
      </c>
      <c r="M22" s="337">
        <f t="shared" si="2"/>
        <v>64.35502</v>
      </c>
      <c r="N22" s="337">
        <f>M22-I22</f>
        <v>51.484016</v>
      </c>
      <c r="O22" s="336"/>
      <c r="P22" s="337"/>
      <c r="Q22" s="337"/>
      <c r="R22" s="337"/>
      <c r="S22" s="337">
        <f>N22*0.5</f>
        <v>25.742008</v>
      </c>
      <c r="T22" s="336"/>
      <c r="U22" s="337"/>
      <c r="V22" s="337"/>
      <c r="W22" s="337"/>
      <c r="X22" s="337">
        <f>N22*0.4</f>
        <v>20.5936064</v>
      </c>
      <c r="Y22" s="337">
        <f>N22*0.55</f>
        <v>28.316208800000002</v>
      </c>
      <c r="Z22" s="336"/>
      <c r="AA22" s="337"/>
      <c r="AB22" s="337"/>
      <c r="AC22" s="337"/>
      <c r="AD22" s="337">
        <f>N22*0.5</f>
        <v>25.742008</v>
      </c>
      <c r="AE22" s="336"/>
      <c r="AF22" s="337"/>
      <c r="AG22" s="337"/>
      <c r="AH22" s="337"/>
      <c r="AI22" s="337">
        <f>N22*0.7</f>
        <v>36.0388112</v>
      </c>
      <c r="AJ22" s="336"/>
      <c r="AK22" s="337"/>
      <c r="AL22" s="337"/>
      <c r="AM22" s="337"/>
      <c r="AN22" s="337">
        <f>N22*0.55</f>
        <v>28.316208800000002</v>
      </c>
      <c r="AO22" s="336"/>
      <c r="AP22" s="337"/>
      <c r="AQ22" s="337"/>
      <c r="AR22" s="337"/>
      <c r="AS22" s="337">
        <f>N22*0.65</f>
        <v>33.4646104</v>
      </c>
      <c r="AT22" s="336"/>
      <c r="AU22" s="337"/>
      <c r="AV22" s="337"/>
      <c r="AW22" s="337"/>
      <c r="AX22" s="337">
        <f>N22*0.6</f>
        <v>30.890409599999998</v>
      </c>
      <c r="AY22" s="336"/>
      <c r="AZ22" s="337"/>
      <c r="BA22" s="337"/>
      <c r="BB22" s="337"/>
      <c r="BC22" s="337">
        <f>N22*0.65</f>
        <v>33.4646104</v>
      </c>
      <c r="BD22" s="336"/>
      <c r="BE22" s="337"/>
      <c r="BF22" s="337"/>
      <c r="BG22" s="337"/>
      <c r="BH22" s="337">
        <f>N22*0.65</f>
        <v>33.4646104</v>
      </c>
      <c r="BI22" s="336"/>
      <c r="BJ22" s="337"/>
      <c r="BK22" s="337"/>
      <c r="BL22" s="337"/>
      <c r="BM22" s="337">
        <f>N22*0.8</f>
        <v>41.1872128</v>
      </c>
      <c r="BN22" s="339"/>
      <c r="BO22" s="340"/>
      <c r="BP22" s="340"/>
      <c r="BQ22" s="340"/>
      <c r="BR22" s="340">
        <f>N22*0.6</f>
        <v>30.890409599999998</v>
      </c>
      <c r="BS22" s="339"/>
      <c r="BT22" s="337"/>
      <c r="BU22" s="337"/>
      <c r="BV22" s="337"/>
    </row>
    <row r="23" spans="1:74" ht="12.75">
      <c r="A23" s="335" t="s">
        <v>638</v>
      </c>
      <c r="B23" s="336"/>
      <c r="C23" s="337"/>
      <c r="D23" s="338"/>
      <c r="E23" s="337"/>
      <c r="F23" s="359">
        <v>0.45</v>
      </c>
      <c r="G23" s="337">
        <f>N23*0.4</f>
        <v>34.321577600000005</v>
      </c>
      <c r="H23" s="336"/>
      <c r="I23" s="337">
        <f>M23*$I$4</f>
        <v>21.450986</v>
      </c>
      <c r="J23" s="337">
        <v>100</v>
      </c>
      <c r="K23" s="337">
        <v>101.3</v>
      </c>
      <c r="L23" s="337">
        <v>104.03</v>
      </c>
      <c r="M23" s="337">
        <f t="shared" si="2"/>
        <v>107.25493</v>
      </c>
      <c r="N23" s="337">
        <f>M23-I23</f>
        <v>85.803944</v>
      </c>
      <c r="O23" s="336"/>
      <c r="P23" s="337"/>
      <c r="Q23" s="337"/>
      <c r="R23" s="337"/>
      <c r="S23" s="337">
        <f>N23*0.5</f>
        <v>42.901972</v>
      </c>
      <c r="T23" s="336"/>
      <c r="U23" s="337"/>
      <c r="V23" s="337"/>
      <c r="W23" s="337"/>
      <c r="X23" s="337">
        <f>N23*0.4</f>
        <v>34.321577600000005</v>
      </c>
      <c r="Y23" s="337">
        <f>N23*0.55</f>
        <v>47.1921692</v>
      </c>
      <c r="Z23" s="336"/>
      <c r="AA23" s="337"/>
      <c r="AB23" s="337"/>
      <c r="AC23" s="337"/>
      <c r="AD23" s="337">
        <f>N23*0.5</f>
        <v>42.901972</v>
      </c>
      <c r="AE23" s="336"/>
      <c r="AF23" s="337"/>
      <c r="AG23" s="337"/>
      <c r="AH23" s="337"/>
      <c r="AI23" s="337">
        <f>N23*0.7</f>
        <v>60.0627608</v>
      </c>
      <c r="AJ23" s="336"/>
      <c r="AK23" s="337"/>
      <c r="AL23" s="337"/>
      <c r="AM23" s="337"/>
      <c r="AN23" s="337">
        <f>N23*0.55</f>
        <v>47.1921692</v>
      </c>
      <c r="AO23" s="336"/>
      <c r="AP23" s="337"/>
      <c r="AQ23" s="337"/>
      <c r="AR23" s="337"/>
      <c r="AS23" s="337">
        <f>N23*0.65</f>
        <v>55.772563600000005</v>
      </c>
      <c r="AT23" s="336"/>
      <c r="AU23" s="337"/>
      <c r="AV23" s="337"/>
      <c r="AW23" s="337"/>
      <c r="AX23" s="337">
        <f>N23*0.6</f>
        <v>51.4823664</v>
      </c>
      <c r="AY23" s="336"/>
      <c r="AZ23" s="337"/>
      <c r="BA23" s="337"/>
      <c r="BB23" s="337"/>
      <c r="BC23" s="337">
        <f>N23*0.65</f>
        <v>55.772563600000005</v>
      </c>
      <c r="BD23" s="336"/>
      <c r="BE23" s="337"/>
      <c r="BF23" s="337"/>
      <c r="BG23" s="337"/>
      <c r="BH23" s="337">
        <f>N23*0.65</f>
        <v>55.772563600000005</v>
      </c>
      <c r="BI23" s="336"/>
      <c r="BJ23" s="337"/>
      <c r="BK23" s="337"/>
      <c r="BL23" s="337"/>
      <c r="BM23" s="337">
        <f>N23*0.8</f>
        <v>68.64315520000001</v>
      </c>
      <c r="BN23" s="339"/>
      <c r="BO23" s="340"/>
      <c r="BP23" s="340"/>
      <c r="BQ23" s="340"/>
      <c r="BR23" s="340">
        <f>N23*0.6</f>
        <v>51.4823664</v>
      </c>
      <c r="BS23" s="339"/>
      <c r="BT23" s="337"/>
      <c r="BU23" s="337"/>
      <c r="BV23" s="337"/>
    </row>
    <row r="24" spans="1:74" ht="12.75">
      <c r="A24" s="335" t="s">
        <v>639</v>
      </c>
      <c r="B24" s="336">
        <v>5</v>
      </c>
      <c r="C24" s="337">
        <f aca="true" t="shared" si="16" ref="C24:C29">B24*8.5/100+B24</f>
        <v>5.425</v>
      </c>
      <c r="D24" s="338">
        <f aca="true" t="shared" si="17" ref="D24:D29">C24*2.1/100+C24</f>
        <v>5.538925</v>
      </c>
      <c r="E24" s="337">
        <f aca="true" t="shared" si="18" ref="E24:E29">D24*1.6/100+D24</f>
        <v>5.6275478</v>
      </c>
      <c r="F24" s="359"/>
      <c r="G24" s="337"/>
      <c r="H24" s="336"/>
      <c r="I24" s="337"/>
      <c r="J24" s="337"/>
      <c r="K24" s="337"/>
      <c r="L24" s="337"/>
      <c r="M24" s="337"/>
      <c r="N24" s="337"/>
      <c r="O24" s="336"/>
      <c r="P24" s="337"/>
      <c r="Q24" s="337"/>
      <c r="R24" s="337"/>
      <c r="S24" s="337"/>
      <c r="T24" s="336"/>
      <c r="U24" s="337"/>
      <c r="V24" s="337"/>
      <c r="W24" s="337"/>
      <c r="X24" s="337"/>
      <c r="Y24" s="337"/>
      <c r="Z24" s="336"/>
      <c r="AA24" s="337"/>
      <c r="AB24" s="337"/>
      <c r="AC24" s="337"/>
      <c r="AD24" s="337"/>
      <c r="AE24" s="336"/>
      <c r="AF24" s="337"/>
      <c r="AG24" s="337"/>
      <c r="AH24" s="337"/>
      <c r="AI24" s="337"/>
      <c r="AJ24" s="336"/>
      <c r="AK24" s="337"/>
      <c r="AL24" s="337"/>
      <c r="AM24" s="337"/>
      <c r="AN24" s="337"/>
      <c r="AO24" s="336"/>
      <c r="AP24" s="337"/>
      <c r="AQ24" s="337"/>
      <c r="AR24" s="337"/>
      <c r="AS24" s="337"/>
      <c r="AT24" s="336"/>
      <c r="AU24" s="337"/>
      <c r="AV24" s="337"/>
      <c r="AW24" s="337"/>
      <c r="AX24" s="337"/>
      <c r="AY24" s="336"/>
      <c r="AZ24" s="337"/>
      <c r="BA24" s="337"/>
      <c r="BB24" s="337"/>
      <c r="BC24" s="337"/>
      <c r="BD24" s="336"/>
      <c r="BE24" s="337"/>
      <c r="BF24" s="337"/>
      <c r="BG24" s="337"/>
      <c r="BH24" s="337"/>
      <c r="BI24" s="336"/>
      <c r="BJ24" s="337"/>
      <c r="BK24" s="337"/>
      <c r="BL24" s="337"/>
      <c r="BM24" s="337"/>
      <c r="BN24" s="339"/>
      <c r="BO24" s="340"/>
      <c r="BP24" s="340"/>
      <c r="BQ24" s="340"/>
      <c r="BR24" s="340"/>
      <c r="BS24" s="339"/>
      <c r="BT24" s="337"/>
      <c r="BU24" s="337"/>
      <c r="BV24" s="337"/>
    </row>
    <row r="25" spans="1:74" ht="12.75">
      <c r="A25" s="335" t="s">
        <v>640</v>
      </c>
      <c r="B25" s="336">
        <v>14</v>
      </c>
      <c r="C25" s="337">
        <f t="shared" si="16"/>
        <v>15.19</v>
      </c>
      <c r="D25" s="338">
        <f t="shared" si="17"/>
        <v>15.508989999999999</v>
      </c>
      <c r="E25" s="337">
        <f t="shared" si="18"/>
        <v>15.757133839999998</v>
      </c>
      <c r="F25" s="359"/>
      <c r="G25" s="337"/>
      <c r="H25" s="336"/>
      <c r="I25" s="337"/>
      <c r="J25" s="337"/>
      <c r="K25" s="337"/>
      <c r="L25" s="337"/>
      <c r="M25" s="337"/>
      <c r="N25" s="337"/>
      <c r="O25" s="336"/>
      <c r="P25" s="337"/>
      <c r="Q25" s="337"/>
      <c r="R25" s="337"/>
      <c r="S25" s="337"/>
      <c r="T25" s="336"/>
      <c r="U25" s="337"/>
      <c r="V25" s="337"/>
      <c r="W25" s="337"/>
      <c r="X25" s="337"/>
      <c r="Y25" s="337"/>
      <c r="Z25" s="336"/>
      <c r="AA25" s="337"/>
      <c r="AB25" s="337"/>
      <c r="AC25" s="337"/>
      <c r="AD25" s="337"/>
      <c r="AE25" s="336"/>
      <c r="AF25" s="337"/>
      <c r="AG25" s="337"/>
      <c r="AH25" s="337"/>
      <c r="AI25" s="337"/>
      <c r="AJ25" s="336"/>
      <c r="AK25" s="337"/>
      <c r="AL25" s="337"/>
      <c r="AM25" s="337"/>
      <c r="AN25" s="337"/>
      <c r="AO25" s="336"/>
      <c r="AP25" s="337"/>
      <c r="AQ25" s="337"/>
      <c r="AR25" s="337"/>
      <c r="AS25" s="337"/>
      <c r="AT25" s="336"/>
      <c r="AU25" s="337"/>
      <c r="AV25" s="337"/>
      <c r="AW25" s="337"/>
      <c r="AX25" s="337"/>
      <c r="AY25" s="336"/>
      <c r="AZ25" s="337"/>
      <c r="BA25" s="337"/>
      <c r="BB25" s="337"/>
      <c r="BC25" s="337"/>
      <c r="BD25" s="336"/>
      <c r="BE25" s="337"/>
      <c r="BF25" s="337"/>
      <c r="BG25" s="337"/>
      <c r="BH25" s="337"/>
      <c r="BI25" s="336"/>
      <c r="BJ25" s="337"/>
      <c r="BK25" s="337"/>
      <c r="BL25" s="337"/>
      <c r="BM25" s="337"/>
      <c r="BN25" s="339"/>
      <c r="BO25" s="340"/>
      <c r="BP25" s="340"/>
      <c r="BQ25" s="340"/>
      <c r="BR25" s="340"/>
      <c r="BS25" s="339"/>
      <c r="BT25" s="337"/>
      <c r="BU25" s="337"/>
      <c r="BV25" s="337"/>
    </row>
    <row r="26" spans="1:74" ht="12.75">
      <c r="A26" s="335" t="s">
        <v>641</v>
      </c>
      <c r="B26" s="336">
        <v>16</v>
      </c>
      <c r="C26" s="337">
        <f t="shared" si="16"/>
        <v>17.36</v>
      </c>
      <c r="D26" s="338">
        <f t="shared" si="17"/>
        <v>17.72456</v>
      </c>
      <c r="E26" s="337">
        <f t="shared" si="18"/>
        <v>18.00815296</v>
      </c>
      <c r="F26" s="359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9"/>
      <c r="BT26" s="337"/>
      <c r="BU26" s="337"/>
      <c r="BV26" s="337"/>
    </row>
    <row r="27" spans="1:74" ht="12.75">
      <c r="A27" s="335" t="s">
        <v>642</v>
      </c>
      <c r="B27" s="336">
        <v>19</v>
      </c>
      <c r="C27" s="337">
        <f t="shared" si="16"/>
        <v>20.615</v>
      </c>
      <c r="D27" s="338">
        <f t="shared" si="17"/>
        <v>21.047915</v>
      </c>
      <c r="E27" s="337">
        <f t="shared" si="18"/>
        <v>21.38468164</v>
      </c>
      <c r="F27" s="359"/>
      <c r="G27" s="337"/>
      <c r="H27" s="336"/>
      <c r="I27" s="337"/>
      <c r="J27" s="337"/>
      <c r="K27" s="337"/>
      <c r="L27" s="337"/>
      <c r="M27" s="337"/>
      <c r="N27" s="337"/>
      <c r="O27" s="336"/>
      <c r="P27" s="337"/>
      <c r="Q27" s="337"/>
      <c r="R27" s="337"/>
      <c r="S27" s="337"/>
      <c r="T27" s="336"/>
      <c r="U27" s="337"/>
      <c r="V27" s="337"/>
      <c r="W27" s="337"/>
      <c r="X27" s="337"/>
      <c r="Y27" s="337"/>
      <c r="Z27" s="336"/>
      <c r="AA27" s="337"/>
      <c r="AB27" s="337"/>
      <c r="AC27" s="337"/>
      <c r="AD27" s="337"/>
      <c r="AE27" s="336"/>
      <c r="AF27" s="337"/>
      <c r="AG27" s="337"/>
      <c r="AH27" s="337"/>
      <c r="AI27" s="337"/>
      <c r="AJ27" s="336"/>
      <c r="AK27" s="337"/>
      <c r="AL27" s="337"/>
      <c r="AM27" s="337"/>
      <c r="AN27" s="337"/>
      <c r="AO27" s="336"/>
      <c r="AP27" s="337"/>
      <c r="AQ27" s="337"/>
      <c r="AR27" s="337"/>
      <c r="AS27" s="337"/>
      <c r="AT27" s="336"/>
      <c r="AU27" s="337"/>
      <c r="AV27" s="337"/>
      <c r="AW27" s="337"/>
      <c r="AX27" s="337"/>
      <c r="AY27" s="336"/>
      <c r="AZ27" s="337"/>
      <c r="BA27" s="337"/>
      <c r="BB27" s="337"/>
      <c r="BC27" s="337"/>
      <c r="BD27" s="336"/>
      <c r="BE27" s="337"/>
      <c r="BF27" s="337"/>
      <c r="BG27" s="337"/>
      <c r="BH27" s="337"/>
      <c r="BI27" s="336"/>
      <c r="BJ27" s="337"/>
      <c r="BK27" s="337"/>
      <c r="BL27" s="337"/>
      <c r="BM27" s="337"/>
      <c r="BN27" s="339"/>
      <c r="BO27" s="340"/>
      <c r="BP27" s="340"/>
      <c r="BQ27" s="340"/>
      <c r="BR27" s="340"/>
      <c r="BS27" s="339"/>
      <c r="BT27" s="337"/>
      <c r="BU27" s="337"/>
      <c r="BV27" s="337"/>
    </row>
    <row r="28" spans="1:74" ht="12.75">
      <c r="A28" s="335" t="s">
        <v>643</v>
      </c>
      <c r="B28" s="336">
        <v>4</v>
      </c>
      <c r="C28" s="337">
        <f t="shared" si="16"/>
        <v>4.34</v>
      </c>
      <c r="D28" s="338">
        <f t="shared" si="17"/>
        <v>4.43114</v>
      </c>
      <c r="E28" s="337">
        <f t="shared" si="18"/>
        <v>4.50203824</v>
      </c>
      <c r="F28" s="359"/>
      <c r="G28" s="337"/>
      <c r="H28" s="336"/>
      <c r="I28" s="337"/>
      <c r="J28" s="337"/>
      <c r="K28" s="337"/>
      <c r="L28" s="337"/>
      <c r="M28" s="337"/>
      <c r="N28" s="337"/>
      <c r="O28" s="336"/>
      <c r="P28" s="337"/>
      <c r="Q28" s="337"/>
      <c r="R28" s="337"/>
      <c r="S28" s="337"/>
      <c r="T28" s="336"/>
      <c r="U28" s="337"/>
      <c r="V28" s="337"/>
      <c r="W28" s="337"/>
      <c r="X28" s="337"/>
      <c r="Y28" s="337"/>
      <c r="Z28" s="336"/>
      <c r="AA28" s="337"/>
      <c r="AB28" s="337"/>
      <c r="AC28" s="337"/>
      <c r="AD28" s="337"/>
      <c r="AE28" s="336"/>
      <c r="AF28" s="337"/>
      <c r="AG28" s="337"/>
      <c r="AH28" s="337"/>
      <c r="AI28" s="337"/>
      <c r="AJ28" s="336"/>
      <c r="AK28" s="337"/>
      <c r="AL28" s="337"/>
      <c r="AM28" s="337"/>
      <c r="AN28" s="337"/>
      <c r="AO28" s="336"/>
      <c r="AP28" s="337"/>
      <c r="AQ28" s="337"/>
      <c r="AR28" s="337"/>
      <c r="AS28" s="337"/>
      <c r="AT28" s="336"/>
      <c r="AU28" s="337"/>
      <c r="AV28" s="337"/>
      <c r="AW28" s="337"/>
      <c r="AX28" s="337"/>
      <c r="AY28" s="336"/>
      <c r="AZ28" s="337"/>
      <c r="BA28" s="337"/>
      <c r="BB28" s="337"/>
      <c r="BC28" s="337"/>
      <c r="BD28" s="336"/>
      <c r="BE28" s="337"/>
      <c r="BF28" s="337"/>
      <c r="BG28" s="337"/>
      <c r="BH28" s="337"/>
      <c r="BI28" s="336"/>
      <c r="BJ28" s="337"/>
      <c r="BK28" s="337"/>
      <c r="BL28" s="337"/>
      <c r="BM28" s="337"/>
      <c r="BN28" s="339"/>
      <c r="BO28" s="340"/>
      <c r="BP28" s="340"/>
      <c r="BQ28" s="340"/>
      <c r="BR28" s="340"/>
      <c r="BS28" s="339"/>
      <c r="BT28" s="337"/>
      <c r="BU28" s="337"/>
      <c r="BV28" s="337"/>
    </row>
    <row r="29" spans="1:74" s="347" customFormat="1" ht="12.75">
      <c r="A29" s="341" t="s">
        <v>644</v>
      </c>
      <c r="B29" s="342">
        <v>16</v>
      </c>
      <c r="C29" s="343">
        <f t="shared" si="16"/>
        <v>17.36</v>
      </c>
      <c r="D29" s="344">
        <f t="shared" si="17"/>
        <v>17.72456</v>
      </c>
      <c r="E29" s="337">
        <f t="shared" si="18"/>
        <v>18.00815296</v>
      </c>
      <c r="F29" s="359"/>
      <c r="G29" s="337"/>
      <c r="H29" s="342"/>
      <c r="I29" s="337"/>
      <c r="J29" s="337"/>
      <c r="K29" s="337"/>
      <c r="L29" s="337"/>
      <c r="M29" s="337"/>
      <c r="N29" s="337"/>
      <c r="O29" s="342"/>
      <c r="P29" s="343"/>
      <c r="Q29" s="337"/>
      <c r="R29" s="337"/>
      <c r="S29" s="337"/>
      <c r="T29" s="342"/>
      <c r="U29" s="343"/>
      <c r="V29" s="337"/>
      <c r="W29" s="337"/>
      <c r="X29" s="337"/>
      <c r="Y29" s="337"/>
      <c r="Z29" s="342"/>
      <c r="AA29" s="343"/>
      <c r="AB29" s="337"/>
      <c r="AC29" s="337"/>
      <c r="AD29" s="337"/>
      <c r="AE29" s="342"/>
      <c r="AF29" s="343"/>
      <c r="AG29" s="337"/>
      <c r="AH29" s="337"/>
      <c r="AI29" s="337"/>
      <c r="AJ29" s="342"/>
      <c r="AK29" s="343"/>
      <c r="AL29" s="337"/>
      <c r="AM29" s="337"/>
      <c r="AN29" s="337"/>
      <c r="AO29" s="342"/>
      <c r="AP29" s="343"/>
      <c r="AQ29" s="337"/>
      <c r="AR29" s="337"/>
      <c r="AS29" s="337"/>
      <c r="AT29" s="342"/>
      <c r="AU29" s="343"/>
      <c r="AV29" s="337"/>
      <c r="AW29" s="337"/>
      <c r="AX29" s="337"/>
      <c r="AY29" s="342"/>
      <c r="AZ29" s="343"/>
      <c r="BA29" s="337"/>
      <c r="BB29" s="337"/>
      <c r="BC29" s="337"/>
      <c r="BD29" s="342"/>
      <c r="BE29" s="343"/>
      <c r="BF29" s="337"/>
      <c r="BG29" s="337"/>
      <c r="BH29" s="337"/>
      <c r="BI29" s="342"/>
      <c r="BJ29" s="343"/>
      <c r="BK29" s="337"/>
      <c r="BL29" s="337"/>
      <c r="BM29" s="337"/>
      <c r="BN29" s="345"/>
      <c r="BO29" s="346"/>
      <c r="BP29" s="340"/>
      <c r="BQ29" s="340"/>
      <c r="BR29" s="340"/>
      <c r="BS29" s="345"/>
      <c r="BT29" s="343"/>
      <c r="BU29" s="337"/>
      <c r="BV29" s="337"/>
    </row>
    <row r="30" spans="1:74" ht="12.75">
      <c r="A30" s="361" t="s">
        <v>645</v>
      </c>
      <c r="B30" s="336"/>
      <c r="C30" s="337"/>
      <c r="D30" s="338"/>
      <c r="E30" s="337"/>
      <c r="F30" s="359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  <c r="BB30" s="337"/>
      <c r="BC30" s="337"/>
      <c r="BD30" s="337"/>
      <c r="BE30" s="337"/>
      <c r="BF30" s="337"/>
      <c r="BG30" s="337"/>
      <c r="BH30" s="337"/>
      <c r="BI30" s="337"/>
      <c r="BJ30" s="337"/>
      <c r="BK30" s="337"/>
      <c r="BL30" s="337"/>
      <c r="BM30" s="337"/>
      <c r="BN30" s="337"/>
      <c r="BO30" s="337"/>
      <c r="BP30" s="337"/>
      <c r="BQ30" s="337"/>
      <c r="BR30" s="337"/>
      <c r="BS30" s="339"/>
      <c r="BT30" s="337"/>
      <c r="BU30" s="337"/>
      <c r="BV30" s="337"/>
    </row>
    <row r="31" spans="1:74" ht="12.75">
      <c r="A31" s="335" t="s">
        <v>646</v>
      </c>
      <c r="B31" s="336">
        <v>4</v>
      </c>
      <c r="C31" s="337">
        <f>B31*8.5/100+B31</f>
        <v>4.34</v>
      </c>
      <c r="D31" s="338">
        <f>C31*2.1/100+C31</f>
        <v>4.43114</v>
      </c>
      <c r="E31" s="337">
        <f>D31*1.6/100+D31</f>
        <v>4.50203824</v>
      </c>
      <c r="F31" s="359">
        <v>0.12</v>
      </c>
      <c r="G31" s="337">
        <f aca="true" t="shared" si="19" ref="G31:G40">N31*0.4</f>
        <v>5.146752</v>
      </c>
      <c r="H31" s="336"/>
      <c r="I31" s="337">
        <f aca="true" t="shared" si="20" ref="I31:I40">M31*$I$4</f>
        <v>3.2167200000000005</v>
      </c>
      <c r="J31" s="337">
        <v>15</v>
      </c>
      <c r="K31" s="337">
        <v>15.195</v>
      </c>
      <c r="L31" s="337">
        <v>15.6</v>
      </c>
      <c r="M31" s="337">
        <f aca="true" t="shared" si="21" ref="M31:M40">L31*$M$4+L31</f>
        <v>16.0836</v>
      </c>
      <c r="N31" s="337">
        <f aca="true" t="shared" si="22" ref="N31:N40">M31-I31</f>
        <v>12.86688</v>
      </c>
      <c r="O31" s="336"/>
      <c r="P31" s="337"/>
      <c r="Q31" s="337"/>
      <c r="R31" s="337"/>
      <c r="S31" s="337">
        <f aca="true" t="shared" si="23" ref="S31:S40">N31*0.5</f>
        <v>6.43344</v>
      </c>
      <c r="T31" s="336"/>
      <c r="U31" s="337"/>
      <c r="V31" s="337"/>
      <c r="W31" s="337"/>
      <c r="X31" s="337">
        <f aca="true" t="shared" si="24" ref="X31:X40">N31*0.4</f>
        <v>5.146752</v>
      </c>
      <c r="Y31" s="337">
        <f aca="true" t="shared" si="25" ref="Y31:Y40">N31*0.55</f>
        <v>7.076784000000001</v>
      </c>
      <c r="Z31" s="336"/>
      <c r="AA31" s="337"/>
      <c r="AB31" s="337"/>
      <c r="AC31" s="337"/>
      <c r="AD31" s="337">
        <f aca="true" t="shared" si="26" ref="AD31:AD40">N31*0.5</f>
        <v>6.43344</v>
      </c>
      <c r="AE31" s="336"/>
      <c r="AF31" s="337"/>
      <c r="AG31" s="337"/>
      <c r="AH31" s="337"/>
      <c r="AI31" s="337">
        <f aca="true" t="shared" si="27" ref="AI31:AI40">N31*0.7</f>
        <v>9.006815999999999</v>
      </c>
      <c r="AJ31" s="336"/>
      <c r="AK31" s="337"/>
      <c r="AL31" s="337"/>
      <c r="AM31" s="337"/>
      <c r="AN31" s="337">
        <f aca="true" t="shared" si="28" ref="AN31:AN40">N31*0.55</f>
        <v>7.076784000000001</v>
      </c>
      <c r="AO31" s="336"/>
      <c r="AP31" s="337"/>
      <c r="AQ31" s="337"/>
      <c r="AR31" s="337"/>
      <c r="AS31" s="337">
        <f aca="true" t="shared" si="29" ref="AS31:AS40">N31*0.65</f>
        <v>8.363472</v>
      </c>
      <c r="AT31" s="336"/>
      <c r="AU31" s="337"/>
      <c r="AV31" s="337"/>
      <c r="AW31" s="337"/>
      <c r="AX31" s="337">
        <f aca="true" t="shared" si="30" ref="AX31:AX40">N31*0.6</f>
        <v>7.720128</v>
      </c>
      <c r="AY31" s="336"/>
      <c r="AZ31" s="337"/>
      <c r="BA31" s="337"/>
      <c r="BB31" s="337"/>
      <c r="BC31" s="337">
        <f aca="true" t="shared" si="31" ref="BC31:BC40">N31*0.65</f>
        <v>8.363472</v>
      </c>
      <c r="BD31" s="336"/>
      <c r="BE31" s="337"/>
      <c r="BF31" s="337"/>
      <c r="BG31" s="337"/>
      <c r="BH31" s="337">
        <f aca="true" t="shared" si="32" ref="BH31:BH40">N31*0.65</f>
        <v>8.363472</v>
      </c>
      <c r="BI31" s="336"/>
      <c r="BJ31" s="337"/>
      <c r="BK31" s="337"/>
      <c r="BL31" s="337"/>
      <c r="BM31" s="337">
        <f aca="true" t="shared" si="33" ref="BM31:BM40">N31*0.8</f>
        <v>10.293504</v>
      </c>
      <c r="BN31" s="339"/>
      <c r="BO31" s="340"/>
      <c r="BP31" s="340"/>
      <c r="BQ31" s="340"/>
      <c r="BR31" s="340">
        <f aca="true" t="shared" si="34" ref="BR31:BR40">N31*0.6</f>
        <v>7.720128</v>
      </c>
      <c r="BS31" s="339"/>
      <c r="BT31" s="337"/>
      <c r="BU31" s="337"/>
      <c r="BV31" s="337"/>
    </row>
    <row r="32" spans="1:74" ht="12.75">
      <c r="A32" s="335" t="s">
        <v>647</v>
      </c>
      <c r="B32" s="336"/>
      <c r="C32" s="337"/>
      <c r="D32" s="338"/>
      <c r="E32" s="337"/>
      <c r="F32" s="359">
        <v>0.03</v>
      </c>
      <c r="G32" s="337">
        <f t="shared" si="19"/>
        <v>1.2009088</v>
      </c>
      <c r="H32" s="336"/>
      <c r="I32" s="337">
        <f t="shared" si="20"/>
        <v>0.750568</v>
      </c>
      <c r="J32" s="337">
        <v>3.5</v>
      </c>
      <c r="K32" s="337">
        <v>3.5455</v>
      </c>
      <c r="L32" s="337">
        <v>3.64</v>
      </c>
      <c r="M32" s="337">
        <f t="shared" si="21"/>
        <v>3.75284</v>
      </c>
      <c r="N32" s="337">
        <f t="shared" si="22"/>
        <v>3.002272</v>
      </c>
      <c r="O32" s="336"/>
      <c r="P32" s="337"/>
      <c r="Q32" s="337"/>
      <c r="R32" s="337"/>
      <c r="S32" s="337">
        <f t="shared" si="23"/>
        <v>1.501136</v>
      </c>
      <c r="T32" s="336"/>
      <c r="U32" s="337"/>
      <c r="V32" s="337"/>
      <c r="W32" s="337"/>
      <c r="X32" s="337">
        <f t="shared" si="24"/>
        <v>1.2009088</v>
      </c>
      <c r="Y32" s="337">
        <f t="shared" si="25"/>
        <v>1.6512496</v>
      </c>
      <c r="Z32" s="336"/>
      <c r="AA32" s="337"/>
      <c r="AB32" s="337"/>
      <c r="AC32" s="337"/>
      <c r="AD32" s="337">
        <f t="shared" si="26"/>
        <v>1.501136</v>
      </c>
      <c r="AE32" s="336"/>
      <c r="AF32" s="337"/>
      <c r="AG32" s="337"/>
      <c r="AH32" s="337"/>
      <c r="AI32" s="337">
        <f t="shared" si="27"/>
        <v>2.1015904</v>
      </c>
      <c r="AJ32" s="336"/>
      <c r="AK32" s="337"/>
      <c r="AL32" s="337"/>
      <c r="AM32" s="337"/>
      <c r="AN32" s="337">
        <f t="shared" si="28"/>
        <v>1.6512496</v>
      </c>
      <c r="AO32" s="336"/>
      <c r="AP32" s="337"/>
      <c r="AQ32" s="337"/>
      <c r="AR32" s="337"/>
      <c r="AS32" s="337">
        <f t="shared" si="29"/>
        <v>1.9514768</v>
      </c>
      <c r="AT32" s="336"/>
      <c r="AU32" s="337"/>
      <c r="AV32" s="337"/>
      <c r="AW32" s="337"/>
      <c r="AX32" s="337">
        <f t="shared" si="30"/>
        <v>1.8013632</v>
      </c>
      <c r="AY32" s="336"/>
      <c r="AZ32" s="337"/>
      <c r="BA32" s="337"/>
      <c r="BB32" s="337"/>
      <c r="BC32" s="337">
        <f t="shared" si="31"/>
        <v>1.9514768</v>
      </c>
      <c r="BD32" s="336"/>
      <c r="BE32" s="337"/>
      <c r="BF32" s="337"/>
      <c r="BG32" s="337"/>
      <c r="BH32" s="337">
        <f t="shared" si="32"/>
        <v>1.9514768</v>
      </c>
      <c r="BI32" s="336"/>
      <c r="BJ32" s="337"/>
      <c r="BK32" s="337"/>
      <c r="BL32" s="337"/>
      <c r="BM32" s="337">
        <f t="shared" si="33"/>
        <v>2.4018176</v>
      </c>
      <c r="BN32" s="339"/>
      <c r="BO32" s="340"/>
      <c r="BP32" s="340"/>
      <c r="BQ32" s="340"/>
      <c r="BR32" s="340">
        <f t="shared" si="34"/>
        <v>1.8013632</v>
      </c>
      <c r="BS32" s="339"/>
      <c r="BT32" s="337"/>
      <c r="BU32" s="337"/>
      <c r="BV32" s="337"/>
    </row>
    <row r="33" spans="1:74" ht="12.75">
      <c r="A33" s="335" t="s">
        <v>648</v>
      </c>
      <c r="B33" s="336">
        <v>4</v>
      </c>
      <c r="C33" s="337">
        <f aca="true" t="shared" si="35" ref="C33:C38">B33*8.5/100+B33</f>
        <v>4.34</v>
      </c>
      <c r="D33" s="338">
        <f>C33*2.1/100+C33</f>
        <v>4.43114</v>
      </c>
      <c r="E33" s="337">
        <f aca="true" t="shared" si="36" ref="E33:E38">D33*1.6/100+D33</f>
        <v>4.50203824</v>
      </c>
      <c r="F33" s="359">
        <v>0.12</v>
      </c>
      <c r="G33" s="337">
        <f t="shared" si="19"/>
        <v>0.8577920000000001</v>
      </c>
      <c r="H33" s="336"/>
      <c r="I33" s="337">
        <f t="shared" si="20"/>
        <v>0.53612</v>
      </c>
      <c r="J33" s="337">
        <v>2.5</v>
      </c>
      <c r="K33" s="337">
        <v>2.5325</v>
      </c>
      <c r="L33" s="337">
        <v>2.6</v>
      </c>
      <c r="M33" s="337">
        <f t="shared" si="21"/>
        <v>2.6806</v>
      </c>
      <c r="N33" s="337">
        <f t="shared" si="22"/>
        <v>2.14448</v>
      </c>
      <c r="O33" s="336"/>
      <c r="P33" s="337"/>
      <c r="Q33" s="337"/>
      <c r="R33" s="337"/>
      <c r="S33" s="337">
        <f t="shared" si="23"/>
        <v>1.07224</v>
      </c>
      <c r="T33" s="336"/>
      <c r="U33" s="337"/>
      <c r="V33" s="337"/>
      <c r="W33" s="337"/>
      <c r="X33" s="337">
        <f t="shared" si="24"/>
        <v>0.8577920000000001</v>
      </c>
      <c r="Y33" s="337">
        <f t="shared" si="25"/>
        <v>1.1794640000000003</v>
      </c>
      <c r="Z33" s="336"/>
      <c r="AA33" s="337"/>
      <c r="AB33" s="337"/>
      <c r="AC33" s="337"/>
      <c r="AD33" s="337">
        <f t="shared" si="26"/>
        <v>1.07224</v>
      </c>
      <c r="AE33" s="336"/>
      <c r="AF33" s="337"/>
      <c r="AG33" s="337"/>
      <c r="AH33" s="337"/>
      <c r="AI33" s="337">
        <f t="shared" si="27"/>
        <v>1.501136</v>
      </c>
      <c r="AJ33" s="336"/>
      <c r="AK33" s="337"/>
      <c r="AL33" s="337"/>
      <c r="AM33" s="337"/>
      <c r="AN33" s="337">
        <f t="shared" si="28"/>
        <v>1.1794640000000003</v>
      </c>
      <c r="AO33" s="336"/>
      <c r="AP33" s="337"/>
      <c r="AQ33" s="337"/>
      <c r="AR33" s="337"/>
      <c r="AS33" s="337">
        <f t="shared" si="29"/>
        <v>1.3939120000000003</v>
      </c>
      <c r="AT33" s="336"/>
      <c r="AU33" s="337"/>
      <c r="AV33" s="337"/>
      <c r="AW33" s="337"/>
      <c r="AX33" s="337">
        <f t="shared" si="30"/>
        <v>1.286688</v>
      </c>
      <c r="AY33" s="336"/>
      <c r="AZ33" s="337"/>
      <c r="BA33" s="337"/>
      <c r="BB33" s="337"/>
      <c r="BC33" s="337">
        <f t="shared" si="31"/>
        <v>1.3939120000000003</v>
      </c>
      <c r="BD33" s="336"/>
      <c r="BE33" s="337"/>
      <c r="BF33" s="337"/>
      <c r="BG33" s="337"/>
      <c r="BH33" s="337">
        <f t="shared" si="32"/>
        <v>1.3939120000000003</v>
      </c>
      <c r="BI33" s="336"/>
      <c r="BJ33" s="337"/>
      <c r="BK33" s="337"/>
      <c r="BL33" s="337"/>
      <c r="BM33" s="337">
        <f t="shared" si="33"/>
        <v>1.7155840000000002</v>
      </c>
      <c r="BN33" s="339"/>
      <c r="BO33" s="340"/>
      <c r="BP33" s="340"/>
      <c r="BQ33" s="340"/>
      <c r="BR33" s="340">
        <f t="shared" si="34"/>
        <v>1.286688</v>
      </c>
      <c r="BS33" s="339"/>
      <c r="BT33" s="337"/>
      <c r="BU33" s="337"/>
      <c r="BV33" s="337"/>
    </row>
    <row r="34" spans="1:74" ht="12.75">
      <c r="A34" s="335" t="s">
        <v>649</v>
      </c>
      <c r="B34" s="336">
        <v>3</v>
      </c>
      <c r="C34" s="337">
        <f t="shared" si="35"/>
        <v>3.255</v>
      </c>
      <c r="D34" s="338">
        <f>C34*2.1/100+C34+0.01</f>
        <v>3.3333549999999996</v>
      </c>
      <c r="E34" s="337">
        <f t="shared" si="36"/>
        <v>3.38668868</v>
      </c>
      <c r="F34" s="359"/>
      <c r="G34" s="337">
        <f t="shared" si="19"/>
        <v>54.915184</v>
      </c>
      <c r="H34" s="336"/>
      <c r="I34" s="337">
        <f t="shared" si="20"/>
        <v>34.32199</v>
      </c>
      <c r="J34" s="337">
        <v>160</v>
      </c>
      <c r="K34" s="337">
        <v>162.08</v>
      </c>
      <c r="L34" s="337">
        <v>166.45</v>
      </c>
      <c r="M34" s="337">
        <f t="shared" si="21"/>
        <v>171.60995</v>
      </c>
      <c r="N34" s="337">
        <f t="shared" si="22"/>
        <v>137.28796</v>
      </c>
      <c r="O34" s="336"/>
      <c r="P34" s="337"/>
      <c r="Q34" s="337"/>
      <c r="R34" s="337"/>
      <c r="S34" s="337">
        <f t="shared" si="23"/>
        <v>68.64398</v>
      </c>
      <c r="T34" s="336"/>
      <c r="U34" s="337"/>
      <c r="V34" s="337"/>
      <c r="W34" s="337"/>
      <c r="X34" s="337">
        <f t="shared" si="24"/>
        <v>54.915184</v>
      </c>
      <c r="Y34" s="337">
        <f t="shared" si="25"/>
        <v>75.50837800000001</v>
      </c>
      <c r="Z34" s="336"/>
      <c r="AA34" s="337"/>
      <c r="AB34" s="337"/>
      <c r="AC34" s="337"/>
      <c r="AD34" s="337">
        <f t="shared" si="26"/>
        <v>68.64398</v>
      </c>
      <c r="AE34" s="336"/>
      <c r="AF34" s="337"/>
      <c r="AG34" s="337"/>
      <c r="AH34" s="337"/>
      <c r="AI34" s="337">
        <f t="shared" si="27"/>
        <v>96.10157199999999</v>
      </c>
      <c r="AJ34" s="336"/>
      <c r="AK34" s="337"/>
      <c r="AL34" s="337"/>
      <c r="AM34" s="337"/>
      <c r="AN34" s="337">
        <f t="shared" si="28"/>
        <v>75.50837800000001</v>
      </c>
      <c r="AO34" s="336"/>
      <c r="AP34" s="337"/>
      <c r="AQ34" s="337"/>
      <c r="AR34" s="337"/>
      <c r="AS34" s="337">
        <f t="shared" si="29"/>
        <v>89.237174</v>
      </c>
      <c r="AT34" s="336"/>
      <c r="AU34" s="337"/>
      <c r="AV34" s="337"/>
      <c r="AW34" s="337"/>
      <c r="AX34" s="337">
        <f t="shared" si="30"/>
        <v>82.372776</v>
      </c>
      <c r="AY34" s="336"/>
      <c r="AZ34" s="337"/>
      <c r="BA34" s="337"/>
      <c r="BB34" s="337"/>
      <c r="BC34" s="337">
        <f t="shared" si="31"/>
        <v>89.237174</v>
      </c>
      <c r="BD34" s="336"/>
      <c r="BE34" s="337"/>
      <c r="BF34" s="337"/>
      <c r="BG34" s="337"/>
      <c r="BH34" s="337">
        <f t="shared" si="32"/>
        <v>89.237174</v>
      </c>
      <c r="BI34" s="336"/>
      <c r="BJ34" s="337"/>
      <c r="BK34" s="337"/>
      <c r="BL34" s="337"/>
      <c r="BM34" s="337">
        <f t="shared" si="33"/>
        <v>109.830368</v>
      </c>
      <c r="BN34" s="339"/>
      <c r="BO34" s="340"/>
      <c r="BP34" s="340"/>
      <c r="BQ34" s="340"/>
      <c r="BR34" s="340">
        <f t="shared" si="34"/>
        <v>82.372776</v>
      </c>
      <c r="BS34" s="339"/>
      <c r="BT34" s="337"/>
      <c r="BU34" s="337"/>
      <c r="BV34" s="337"/>
    </row>
    <row r="35" spans="1:74" ht="12.75">
      <c r="A35" s="335" t="s">
        <v>650</v>
      </c>
      <c r="B35" s="336">
        <v>3</v>
      </c>
      <c r="C35" s="337">
        <f t="shared" si="35"/>
        <v>3.255</v>
      </c>
      <c r="D35" s="338">
        <f>C35*2.1/100+C35+0.01</f>
        <v>3.3333549999999996</v>
      </c>
      <c r="E35" s="337">
        <f t="shared" si="36"/>
        <v>3.38668868</v>
      </c>
      <c r="F35" s="359"/>
      <c r="G35" s="337">
        <f t="shared" si="19"/>
        <v>8.57792</v>
      </c>
      <c r="H35" s="336"/>
      <c r="I35" s="337">
        <f t="shared" si="20"/>
        <v>5.3612</v>
      </c>
      <c r="J35" s="337">
        <v>25</v>
      </c>
      <c r="K35" s="337">
        <v>25.325</v>
      </c>
      <c r="L35" s="337">
        <v>26</v>
      </c>
      <c r="M35" s="337">
        <f t="shared" si="21"/>
        <v>26.806</v>
      </c>
      <c r="N35" s="337">
        <f t="shared" si="22"/>
        <v>21.4448</v>
      </c>
      <c r="O35" s="336"/>
      <c r="P35" s="337"/>
      <c r="Q35" s="337"/>
      <c r="R35" s="337"/>
      <c r="S35" s="337">
        <f t="shared" si="23"/>
        <v>10.7224</v>
      </c>
      <c r="T35" s="336"/>
      <c r="U35" s="337"/>
      <c r="V35" s="337"/>
      <c r="W35" s="337"/>
      <c r="X35" s="337">
        <f t="shared" si="24"/>
        <v>8.57792</v>
      </c>
      <c r="Y35" s="337">
        <f t="shared" si="25"/>
        <v>11.794640000000001</v>
      </c>
      <c r="Z35" s="336"/>
      <c r="AA35" s="337"/>
      <c r="AB35" s="337"/>
      <c r="AC35" s="337"/>
      <c r="AD35" s="337">
        <f t="shared" si="26"/>
        <v>10.7224</v>
      </c>
      <c r="AE35" s="336"/>
      <c r="AF35" s="337"/>
      <c r="AG35" s="337"/>
      <c r="AH35" s="337"/>
      <c r="AI35" s="337">
        <f t="shared" si="27"/>
        <v>15.01136</v>
      </c>
      <c r="AJ35" s="336"/>
      <c r="AK35" s="337"/>
      <c r="AL35" s="337"/>
      <c r="AM35" s="337"/>
      <c r="AN35" s="337">
        <f t="shared" si="28"/>
        <v>11.794640000000001</v>
      </c>
      <c r="AO35" s="336"/>
      <c r="AP35" s="337"/>
      <c r="AQ35" s="337"/>
      <c r="AR35" s="337"/>
      <c r="AS35" s="337">
        <f t="shared" si="29"/>
        <v>13.93912</v>
      </c>
      <c r="AT35" s="336"/>
      <c r="AU35" s="337"/>
      <c r="AV35" s="337"/>
      <c r="AW35" s="337"/>
      <c r="AX35" s="337">
        <f t="shared" si="30"/>
        <v>12.86688</v>
      </c>
      <c r="AY35" s="336"/>
      <c r="AZ35" s="337"/>
      <c r="BA35" s="337"/>
      <c r="BB35" s="337"/>
      <c r="BC35" s="337">
        <f t="shared" si="31"/>
        <v>13.93912</v>
      </c>
      <c r="BD35" s="336"/>
      <c r="BE35" s="337"/>
      <c r="BF35" s="337"/>
      <c r="BG35" s="337"/>
      <c r="BH35" s="337">
        <f t="shared" si="32"/>
        <v>13.93912</v>
      </c>
      <c r="BI35" s="336"/>
      <c r="BJ35" s="337"/>
      <c r="BK35" s="337"/>
      <c r="BL35" s="337"/>
      <c r="BM35" s="337">
        <f t="shared" si="33"/>
        <v>17.15584</v>
      </c>
      <c r="BN35" s="339"/>
      <c r="BO35" s="340"/>
      <c r="BP35" s="340"/>
      <c r="BQ35" s="340"/>
      <c r="BR35" s="340">
        <f t="shared" si="34"/>
        <v>12.86688</v>
      </c>
      <c r="BS35" s="339"/>
      <c r="BT35" s="337"/>
      <c r="BU35" s="337"/>
      <c r="BV35" s="337"/>
    </row>
    <row r="36" spans="1:74" ht="12.75">
      <c r="A36" s="335" t="s">
        <v>651</v>
      </c>
      <c r="B36" s="336">
        <v>5</v>
      </c>
      <c r="C36" s="337">
        <f t="shared" si="35"/>
        <v>5.425</v>
      </c>
      <c r="D36" s="338">
        <f>C36*2.1/100+C36</f>
        <v>5.538925</v>
      </c>
      <c r="E36" s="337">
        <f t="shared" si="36"/>
        <v>5.6275478</v>
      </c>
      <c r="F36" s="359" t="s">
        <v>652</v>
      </c>
      <c r="G36" s="337">
        <f t="shared" si="19"/>
        <v>54.915184</v>
      </c>
      <c r="H36" s="336"/>
      <c r="I36" s="337">
        <f t="shared" si="20"/>
        <v>34.32199</v>
      </c>
      <c r="J36" s="337">
        <v>160</v>
      </c>
      <c r="K36" s="337">
        <v>162.08</v>
      </c>
      <c r="L36" s="337">
        <v>166.45</v>
      </c>
      <c r="M36" s="337">
        <f t="shared" si="21"/>
        <v>171.60995</v>
      </c>
      <c r="N36" s="337">
        <f t="shared" si="22"/>
        <v>137.28796</v>
      </c>
      <c r="O36" s="336"/>
      <c r="P36" s="337"/>
      <c r="Q36" s="337"/>
      <c r="R36" s="337"/>
      <c r="S36" s="337">
        <f t="shared" si="23"/>
        <v>68.64398</v>
      </c>
      <c r="T36" s="336"/>
      <c r="U36" s="337"/>
      <c r="V36" s="337"/>
      <c r="W36" s="337"/>
      <c r="X36" s="337">
        <f t="shared" si="24"/>
        <v>54.915184</v>
      </c>
      <c r="Y36" s="337">
        <f t="shared" si="25"/>
        <v>75.50837800000001</v>
      </c>
      <c r="Z36" s="336"/>
      <c r="AA36" s="337"/>
      <c r="AB36" s="337"/>
      <c r="AC36" s="337"/>
      <c r="AD36" s="337">
        <f t="shared" si="26"/>
        <v>68.64398</v>
      </c>
      <c r="AE36" s="336"/>
      <c r="AF36" s="337"/>
      <c r="AG36" s="337"/>
      <c r="AH36" s="337"/>
      <c r="AI36" s="337">
        <f t="shared" si="27"/>
        <v>96.10157199999999</v>
      </c>
      <c r="AJ36" s="336"/>
      <c r="AK36" s="337"/>
      <c r="AL36" s="337"/>
      <c r="AM36" s="337"/>
      <c r="AN36" s="337">
        <f t="shared" si="28"/>
        <v>75.50837800000001</v>
      </c>
      <c r="AO36" s="336"/>
      <c r="AP36" s="337"/>
      <c r="AQ36" s="337"/>
      <c r="AR36" s="337"/>
      <c r="AS36" s="337">
        <f t="shared" si="29"/>
        <v>89.237174</v>
      </c>
      <c r="AT36" s="336"/>
      <c r="AU36" s="337"/>
      <c r="AV36" s="337"/>
      <c r="AW36" s="337"/>
      <c r="AX36" s="337">
        <f t="shared" si="30"/>
        <v>82.372776</v>
      </c>
      <c r="AY36" s="336"/>
      <c r="AZ36" s="337"/>
      <c r="BA36" s="337"/>
      <c r="BB36" s="337"/>
      <c r="BC36" s="337">
        <f t="shared" si="31"/>
        <v>89.237174</v>
      </c>
      <c r="BD36" s="336"/>
      <c r="BE36" s="337"/>
      <c r="BF36" s="337"/>
      <c r="BG36" s="337"/>
      <c r="BH36" s="337">
        <f t="shared" si="32"/>
        <v>89.237174</v>
      </c>
      <c r="BI36" s="336"/>
      <c r="BJ36" s="337"/>
      <c r="BK36" s="337"/>
      <c r="BL36" s="337"/>
      <c r="BM36" s="337">
        <f t="shared" si="33"/>
        <v>109.830368</v>
      </c>
      <c r="BN36" s="339"/>
      <c r="BO36" s="340"/>
      <c r="BP36" s="340"/>
      <c r="BQ36" s="340"/>
      <c r="BR36" s="340">
        <f t="shared" si="34"/>
        <v>82.372776</v>
      </c>
      <c r="BS36" s="339"/>
      <c r="BT36" s="337"/>
      <c r="BU36" s="337"/>
      <c r="BV36" s="337"/>
    </row>
    <row r="37" spans="1:74" ht="12.75">
      <c r="A37" s="335" t="s">
        <v>653</v>
      </c>
      <c r="B37" s="336">
        <v>5</v>
      </c>
      <c r="C37" s="337">
        <f t="shared" si="35"/>
        <v>5.425</v>
      </c>
      <c r="D37" s="338">
        <f>C37*2.1/100+C37</f>
        <v>5.538925</v>
      </c>
      <c r="E37" s="337">
        <f t="shared" si="36"/>
        <v>5.6275478</v>
      </c>
      <c r="F37" s="359" t="s">
        <v>652</v>
      </c>
      <c r="G37" s="337">
        <f t="shared" si="19"/>
        <v>1.7155840000000002</v>
      </c>
      <c r="H37" s="336"/>
      <c r="I37" s="337">
        <f t="shared" si="20"/>
        <v>1.07224</v>
      </c>
      <c r="J37" s="337">
        <v>5</v>
      </c>
      <c r="K37" s="337">
        <v>5.065</v>
      </c>
      <c r="L37" s="337">
        <v>5.2</v>
      </c>
      <c r="M37" s="337">
        <f t="shared" si="21"/>
        <v>5.3612</v>
      </c>
      <c r="N37" s="337">
        <f t="shared" si="22"/>
        <v>4.28896</v>
      </c>
      <c r="O37" s="336"/>
      <c r="P37" s="337"/>
      <c r="Q37" s="337"/>
      <c r="R37" s="337"/>
      <c r="S37" s="337">
        <f t="shared" si="23"/>
        <v>2.14448</v>
      </c>
      <c r="T37" s="336"/>
      <c r="U37" s="337"/>
      <c r="V37" s="337"/>
      <c r="W37" s="337"/>
      <c r="X37" s="337">
        <f t="shared" si="24"/>
        <v>1.7155840000000002</v>
      </c>
      <c r="Y37" s="337">
        <f t="shared" si="25"/>
        <v>2.3589280000000006</v>
      </c>
      <c r="Z37" s="336"/>
      <c r="AA37" s="337"/>
      <c r="AB37" s="337"/>
      <c r="AC37" s="337"/>
      <c r="AD37" s="337">
        <f t="shared" si="26"/>
        <v>2.14448</v>
      </c>
      <c r="AE37" s="336"/>
      <c r="AF37" s="337"/>
      <c r="AG37" s="337"/>
      <c r="AH37" s="337"/>
      <c r="AI37" s="337">
        <f t="shared" si="27"/>
        <v>3.002272</v>
      </c>
      <c r="AJ37" s="336"/>
      <c r="AK37" s="337"/>
      <c r="AL37" s="337"/>
      <c r="AM37" s="337"/>
      <c r="AN37" s="337">
        <f t="shared" si="28"/>
        <v>2.3589280000000006</v>
      </c>
      <c r="AO37" s="336"/>
      <c r="AP37" s="337"/>
      <c r="AQ37" s="337"/>
      <c r="AR37" s="337"/>
      <c r="AS37" s="337">
        <f t="shared" si="29"/>
        <v>2.7878240000000005</v>
      </c>
      <c r="AT37" s="336"/>
      <c r="AU37" s="337"/>
      <c r="AV37" s="337"/>
      <c r="AW37" s="337"/>
      <c r="AX37" s="337">
        <f t="shared" si="30"/>
        <v>2.573376</v>
      </c>
      <c r="AY37" s="336"/>
      <c r="AZ37" s="337"/>
      <c r="BA37" s="337"/>
      <c r="BB37" s="337"/>
      <c r="BC37" s="337">
        <f t="shared" si="31"/>
        <v>2.7878240000000005</v>
      </c>
      <c r="BD37" s="336"/>
      <c r="BE37" s="337"/>
      <c r="BF37" s="337"/>
      <c r="BG37" s="337"/>
      <c r="BH37" s="337">
        <f t="shared" si="32"/>
        <v>2.7878240000000005</v>
      </c>
      <c r="BI37" s="336"/>
      <c r="BJ37" s="337"/>
      <c r="BK37" s="337"/>
      <c r="BL37" s="337"/>
      <c r="BM37" s="337">
        <f t="shared" si="33"/>
        <v>3.4311680000000004</v>
      </c>
      <c r="BN37" s="339"/>
      <c r="BO37" s="340"/>
      <c r="BP37" s="340"/>
      <c r="BQ37" s="340"/>
      <c r="BR37" s="340">
        <f t="shared" si="34"/>
        <v>2.573376</v>
      </c>
      <c r="BS37" s="339"/>
      <c r="BT37" s="337"/>
      <c r="BU37" s="337"/>
      <c r="BV37" s="337"/>
    </row>
    <row r="38" spans="1:74" ht="12.75">
      <c r="A38" s="335" t="s">
        <v>654</v>
      </c>
      <c r="B38" s="336">
        <v>5</v>
      </c>
      <c r="C38" s="337">
        <f t="shared" si="35"/>
        <v>5.425</v>
      </c>
      <c r="D38" s="338">
        <f>C38*2.1/100+C38</f>
        <v>5.538925</v>
      </c>
      <c r="E38" s="337">
        <f t="shared" si="36"/>
        <v>5.6275478</v>
      </c>
      <c r="F38" s="359" t="s">
        <v>652</v>
      </c>
      <c r="G38" s="337">
        <f t="shared" si="19"/>
        <v>8.57792</v>
      </c>
      <c r="H38" s="336"/>
      <c r="I38" s="337">
        <f t="shared" si="20"/>
        <v>5.3612</v>
      </c>
      <c r="J38" s="337">
        <v>25</v>
      </c>
      <c r="K38" s="337">
        <v>25.325</v>
      </c>
      <c r="L38" s="337">
        <v>26</v>
      </c>
      <c r="M38" s="337">
        <f t="shared" si="21"/>
        <v>26.806</v>
      </c>
      <c r="N38" s="337">
        <f t="shared" si="22"/>
        <v>21.4448</v>
      </c>
      <c r="O38" s="336"/>
      <c r="P38" s="337"/>
      <c r="Q38" s="337"/>
      <c r="R38" s="337"/>
      <c r="S38" s="337">
        <f t="shared" si="23"/>
        <v>10.7224</v>
      </c>
      <c r="T38" s="336"/>
      <c r="U38" s="337"/>
      <c r="V38" s="337"/>
      <c r="W38" s="337"/>
      <c r="X38" s="337">
        <f t="shared" si="24"/>
        <v>8.57792</v>
      </c>
      <c r="Y38" s="337">
        <f t="shared" si="25"/>
        <v>11.794640000000001</v>
      </c>
      <c r="Z38" s="336"/>
      <c r="AA38" s="337"/>
      <c r="AB38" s="337"/>
      <c r="AC38" s="337"/>
      <c r="AD38" s="337">
        <f t="shared" si="26"/>
        <v>10.7224</v>
      </c>
      <c r="AE38" s="336"/>
      <c r="AF38" s="337"/>
      <c r="AG38" s="337"/>
      <c r="AH38" s="337"/>
      <c r="AI38" s="337">
        <f t="shared" si="27"/>
        <v>15.01136</v>
      </c>
      <c r="AJ38" s="336"/>
      <c r="AK38" s="337"/>
      <c r="AL38" s="337"/>
      <c r="AM38" s="337"/>
      <c r="AN38" s="337">
        <f t="shared" si="28"/>
        <v>11.794640000000001</v>
      </c>
      <c r="AO38" s="336"/>
      <c r="AP38" s="337"/>
      <c r="AQ38" s="337"/>
      <c r="AR38" s="337"/>
      <c r="AS38" s="337">
        <f t="shared" si="29"/>
        <v>13.93912</v>
      </c>
      <c r="AT38" s="336"/>
      <c r="AU38" s="337"/>
      <c r="AV38" s="337"/>
      <c r="AW38" s="337"/>
      <c r="AX38" s="337">
        <f t="shared" si="30"/>
        <v>12.86688</v>
      </c>
      <c r="AY38" s="336"/>
      <c r="AZ38" s="337"/>
      <c r="BA38" s="337"/>
      <c r="BB38" s="337"/>
      <c r="BC38" s="337">
        <f t="shared" si="31"/>
        <v>13.93912</v>
      </c>
      <c r="BD38" s="336"/>
      <c r="BE38" s="337"/>
      <c r="BF38" s="337"/>
      <c r="BG38" s="337"/>
      <c r="BH38" s="337">
        <f t="shared" si="32"/>
        <v>13.93912</v>
      </c>
      <c r="BI38" s="336"/>
      <c r="BJ38" s="337"/>
      <c r="BK38" s="337"/>
      <c r="BL38" s="337"/>
      <c r="BM38" s="337">
        <f t="shared" si="33"/>
        <v>17.15584</v>
      </c>
      <c r="BN38" s="339"/>
      <c r="BO38" s="340"/>
      <c r="BP38" s="340"/>
      <c r="BQ38" s="340"/>
      <c r="BR38" s="340">
        <f t="shared" si="34"/>
        <v>12.86688</v>
      </c>
      <c r="BS38" s="339"/>
      <c r="BT38" s="337"/>
      <c r="BU38" s="337"/>
      <c r="BV38" s="337"/>
    </row>
    <row r="39" spans="1:74" ht="12.75">
      <c r="A39" s="335" t="s">
        <v>655</v>
      </c>
      <c r="B39" s="336"/>
      <c r="C39" s="337"/>
      <c r="D39" s="338"/>
      <c r="E39" s="337"/>
      <c r="F39" s="359">
        <v>0.45</v>
      </c>
      <c r="G39" s="337">
        <f t="shared" si="19"/>
        <v>3.4311680000000004</v>
      </c>
      <c r="H39" s="336"/>
      <c r="I39" s="337">
        <f t="shared" si="20"/>
        <v>2.14448</v>
      </c>
      <c r="J39" s="337">
        <v>10</v>
      </c>
      <c r="K39" s="337">
        <v>10.13</v>
      </c>
      <c r="L39" s="337">
        <v>10.4</v>
      </c>
      <c r="M39" s="337">
        <f t="shared" si="21"/>
        <v>10.7224</v>
      </c>
      <c r="N39" s="337">
        <f t="shared" si="22"/>
        <v>8.57792</v>
      </c>
      <c r="O39" s="336"/>
      <c r="P39" s="337"/>
      <c r="Q39" s="337"/>
      <c r="R39" s="337"/>
      <c r="S39" s="337">
        <f t="shared" si="23"/>
        <v>4.28896</v>
      </c>
      <c r="T39" s="336"/>
      <c r="U39" s="337"/>
      <c r="V39" s="337"/>
      <c r="W39" s="337"/>
      <c r="X39" s="337">
        <f t="shared" si="24"/>
        <v>3.4311680000000004</v>
      </c>
      <c r="Y39" s="337">
        <f t="shared" si="25"/>
        <v>4.717856000000001</v>
      </c>
      <c r="Z39" s="336"/>
      <c r="AA39" s="337"/>
      <c r="AB39" s="337"/>
      <c r="AC39" s="337"/>
      <c r="AD39" s="337">
        <f t="shared" si="26"/>
        <v>4.28896</v>
      </c>
      <c r="AE39" s="336"/>
      <c r="AF39" s="337"/>
      <c r="AG39" s="337"/>
      <c r="AH39" s="337"/>
      <c r="AI39" s="337">
        <f t="shared" si="27"/>
        <v>6.004544</v>
      </c>
      <c r="AJ39" s="336"/>
      <c r="AK39" s="337"/>
      <c r="AL39" s="337"/>
      <c r="AM39" s="337"/>
      <c r="AN39" s="337">
        <f t="shared" si="28"/>
        <v>4.717856000000001</v>
      </c>
      <c r="AO39" s="336"/>
      <c r="AP39" s="337"/>
      <c r="AQ39" s="337"/>
      <c r="AR39" s="337"/>
      <c r="AS39" s="337">
        <f t="shared" si="29"/>
        <v>5.575648000000001</v>
      </c>
      <c r="AT39" s="336"/>
      <c r="AU39" s="337"/>
      <c r="AV39" s="337"/>
      <c r="AW39" s="337"/>
      <c r="AX39" s="337">
        <f t="shared" si="30"/>
        <v>5.146752</v>
      </c>
      <c r="AY39" s="336"/>
      <c r="AZ39" s="337"/>
      <c r="BA39" s="337"/>
      <c r="BB39" s="337"/>
      <c r="BC39" s="337">
        <f t="shared" si="31"/>
        <v>5.575648000000001</v>
      </c>
      <c r="BD39" s="336"/>
      <c r="BE39" s="337"/>
      <c r="BF39" s="337"/>
      <c r="BG39" s="337"/>
      <c r="BH39" s="337">
        <f t="shared" si="32"/>
        <v>5.575648000000001</v>
      </c>
      <c r="BI39" s="336"/>
      <c r="BJ39" s="337"/>
      <c r="BK39" s="337"/>
      <c r="BL39" s="337"/>
      <c r="BM39" s="337">
        <f t="shared" si="33"/>
        <v>6.862336000000001</v>
      </c>
      <c r="BN39" s="339"/>
      <c r="BO39" s="340"/>
      <c r="BP39" s="340"/>
      <c r="BQ39" s="340"/>
      <c r="BR39" s="340">
        <f t="shared" si="34"/>
        <v>5.146752</v>
      </c>
      <c r="BS39" s="339"/>
      <c r="BT39" s="337"/>
      <c r="BU39" s="337"/>
      <c r="BV39" s="337"/>
    </row>
    <row r="40" spans="1:74" ht="12.75">
      <c r="A40" s="335" t="s">
        <v>656</v>
      </c>
      <c r="B40" s="336"/>
      <c r="C40" s="337"/>
      <c r="D40" s="338"/>
      <c r="E40" s="337"/>
      <c r="F40" s="359">
        <v>0.45</v>
      </c>
      <c r="G40" s="337">
        <f t="shared" si="19"/>
        <v>1.0293504</v>
      </c>
      <c r="H40" s="336"/>
      <c r="I40" s="337">
        <f t="shared" si="20"/>
        <v>0.643344</v>
      </c>
      <c r="J40" s="337">
        <v>3</v>
      </c>
      <c r="K40" s="337">
        <v>3.039</v>
      </c>
      <c r="L40" s="337">
        <v>3.12</v>
      </c>
      <c r="M40" s="337">
        <f t="shared" si="21"/>
        <v>3.21672</v>
      </c>
      <c r="N40" s="337">
        <f t="shared" si="22"/>
        <v>2.573376</v>
      </c>
      <c r="O40" s="336"/>
      <c r="P40" s="337"/>
      <c r="Q40" s="337"/>
      <c r="R40" s="337"/>
      <c r="S40" s="337">
        <f t="shared" si="23"/>
        <v>1.286688</v>
      </c>
      <c r="T40" s="336"/>
      <c r="U40" s="337"/>
      <c r="V40" s="337"/>
      <c r="W40" s="337"/>
      <c r="X40" s="337">
        <f t="shared" si="24"/>
        <v>1.0293504</v>
      </c>
      <c r="Y40" s="337">
        <f t="shared" si="25"/>
        <v>1.4153568</v>
      </c>
      <c r="Z40" s="336"/>
      <c r="AA40" s="337"/>
      <c r="AB40" s="337"/>
      <c r="AC40" s="337"/>
      <c r="AD40" s="337">
        <f t="shared" si="26"/>
        <v>1.286688</v>
      </c>
      <c r="AE40" s="336"/>
      <c r="AF40" s="337"/>
      <c r="AG40" s="337"/>
      <c r="AH40" s="337"/>
      <c r="AI40" s="337">
        <f t="shared" si="27"/>
        <v>1.8013632</v>
      </c>
      <c r="AJ40" s="336"/>
      <c r="AK40" s="337"/>
      <c r="AL40" s="337"/>
      <c r="AM40" s="337"/>
      <c r="AN40" s="337">
        <f t="shared" si="28"/>
        <v>1.4153568</v>
      </c>
      <c r="AO40" s="336"/>
      <c r="AP40" s="337"/>
      <c r="AQ40" s="337"/>
      <c r="AR40" s="337"/>
      <c r="AS40" s="337">
        <f t="shared" si="29"/>
        <v>1.6726944000000001</v>
      </c>
      <c r="AT40" s="336"/>
      <c r="AU40" s="337"/>
      <c r="AV40" s="337"/>
      <c r="AW40" s="337"/>
      <c r="AX40" s="337">
        <f t="shared" si="30"/>
        <v>1.5440256</v>
      </c>
      <c r="AY40" s="336"/>
      <c r="AZ40" s="337"/>
      <c r="BA40" s="337"/>
      <c r="BB40" s="337"/>
      <c r="BC40" s="337">
        <f t="shared" si="31"/>
        <v>1.6726944000000001</v>
      </c>
      <c r="BD40" s="336"/>
      <c r="BE40" s="337"/>
      <c r="BF40" s="337"/>
      <c r="BG40" s="337"/>
      <c r="BH40" s="337">
        <f t="shared" si="32"/>
        <v>1.6726944000000001</v>
      </c>
      <c r="BI40" s="336"/>
      <c r="BJ40" s="337"/>
      <c r="BK40" s="337"/>
      <c r="BL40" s="337"/>
      <c r="BM40" s="337">
        <f t="shared" si="33"/>
        <v>2.0587008</v>
      </c>
      <c r="BN40" s="339"/>
      <c r="BO40" s="340"/>
      <c r="BP40" s="340"/>
      <c r="BQ40" s="340"/>
      <c r="BR40" s="340">
        <f t="shared" si="34"/>
        <v>1.5440256</v>
      </c>
      <c r="BS40" s="339"/>
      <c r="BT40" s="337"/>
      <c r="BU40" s="337"/>
      <c r="BV40" s="337"/>
    </row>
    <row r="41" spans="1:74" ht="12.75">
      <c r="A41" s="335" t="s">
        <v>657</v>
      </c>
      <c r="B41" s="336">
        <v>11</v>
      </c>
      <c r="C41" s="337">
        <f>B41*8.5/100+B41</f>
        <v>11.935</v>
      </c>
      <c r="D41" s="338">
        <f>C41*2.1/100+C41</f>
        <v>12.185635000000001</v>
      </c>
      <c r="E41" s="337">
        <f>D41*1.6/100+D41</f>
        <v>12.380605160000002</v>
      </c>
      <c r="F41" s="359">
        <v>0.45</v>
      </c>
      <c r="G41" s="337">
        <v>20.592261976</v>
      </c>
      <c r="H41" s="362"/>
      <c r="I41" s="337"/>
      <c r="J41" s="362"/>
      <c r="K41" s="362"/>
      <c r="L41" s="337" t="s">
        <v>569</v>
      </c>
      <c r="M41" s="337"/>
      <c r="N41" s="337" t="s">
        <v>633</v>
      </c>
      <c r="O41" s="362" t="e">
        <f>O43-O42</f>
        <v>#VALUE!</v>
      </c>
      <c r="P41" s="362" t="e">
        <f>P43-P42</f>
        <v>#VALUE!</v>
      </c>
      <c r="Q41" s="362" t="e">
        <f>Q43-Q42</f>
        <v>#VALUE!</v>
      </c>
      <c r="R41" s="362" t="e">
        <f>R43-R42</f>
        <v>#VALUE!</v>
      </c>
      <c r="S41" s="337">
        <v>25.742445144</v>
      </c>
      <c r="T41" s="336" t="e">
        <v>#VALUE!</v>
      </c>
      <c r="U41" s="337" t="e">
        <v>#VALUE!</v>
      </c>
      <c r="V41" s="337" t="e">
        <v>#VALUE!</v>
      </c>
      <c r="W41" s="337" t="e">
        <v>#VALUE!</v>
      </c>
      <c r="X41" s="337">
        <v>20.5939561152</v>
      </c>
      <c r="Y41" s="337">
        <v>28.3166896584</v>
      </c>
      <c r="Z41" s="336" t="e">
        <v>#VALUE!</v>
      </c>
      <c r="AA41" s="337" t="e">
        <v>#VALUE!</v>
      </c>
      <c r="AB41" s="337" t="e">
        <v>#VALUE!</v>
      </c>
      <c r="AC41" s="337" t="e">
        <v>#VALUE!</v>
      </c>
      <c r="AD41" s="337">
        <v>25.742445144</v>
      </c>
      <c r="AE41" s="336" t="e">
        <v>#VALUE!</v>
      </c>
      <c r="AF41" s="337" t="e">
        <v>#VALUE!</v>
      </c>
      <c r="AG41" s="337" t="e">
        <v>#VALUE!</v>
      </c>
      <c r="AH41" s="337" t="e">
        <v>#VALUE!</v>
      </c>
      <c r="AI41" s="337">
        <v>36.0394232016</v>
      </c>
      <c r="AJ41" s="336" t="e">
        <v>#VALUE!</v>
      </c>
      <c r="AK41" s="337" t="e">
        <v>#VALUE!</v>
      </c>
      <c r="AL41" s="337" t="e">
        <v>#VALUE!</v>
      </c>
      <c r="AM41" s="337" t="e">
        <v>#VALUE!</v>
      </c>
      <c r="AN41" s="337">
        <v>28.3166896584</v>
      </c>
      <c r="AO41" s="336" t="e">
        <v>#VALUE!</v>
      </c>
      <c r="AP41" s="337" t="e">
        <v>#VALUE!</v>
      </c>
      <c r="AQ41" s="337" t="e">
        <v>#VALUE!</v>
      </c>
      <c r="AR41" s="337" t="e">
        <v>#VALUE!</v>
      </c>
      <c r="AS41" s="337">
        <v>33.465178687199995</v>
      </c>
      <c r="AT41" s="336" t="e">
        <v>#VALUE!</v>
      </c>
      <c r="AU41" s="337" t="e">
        <v>#VALUE!</v>
      </c>
      <c r="AV41" s="337" t="e">
        <v>#VALUE!</v>
      </c>
      <c r="AW41" s="337" t="e">
        <v>#VALUE!</v>
      </c>
      <c r="AX41" s="337">
        <v>30.8909341728</v>
      </c>
      <c r="AY41" s="336" t="e">
        <v>#VALUE!</v>
      </c>
      <c r="AZ41" s="337" t="e">
        <v>#VALUE!</v>
      </c>
      <c r="BA41" s="337" t="e">
        <v>#VALUE!</v>
      </c>
      <c r="BB41" s="337" t="e">
        <v>#VALUE!</v>
      </c>
      <c r="BC41" s="337">
        <v>33.465178687199995</v>
      </c>
      <c r="BD41" s="336" t="e">
        <v>#VALUE!</v>
      </c>
      <c r="BE41" s="337" t="e">
        <v>#VALUE!</v>
      </c>
      <c r="BF41" s="337" t="e">
        <v>#VALUE!</v>
      </c>
      <c r="BG41" s="337" t="e">
        <v>#VALUE!</v>
      </c>
      <c r="BH41" s="337">
        <v>33.465178687199995</v>
      </c>
      <c r="BI41" s="336" t="e">
        <v>#VALUE!</v>
      </c>
      <c r="BJ41" s="337" t="e">
        <v>#VALUE!</v>
      </c>
      <c r="BK41" s="337" t="e">
        <v>#VALUE!</v>
      </c>
      <c r="BL41" s="337" t="e">
        <v>#VALUE!</v>
      </c>
      <c r="BM41" s="337">
        <v>41.1879122304</v>
      </c>
      <c r="BN41" s="339" t="e">
        <v>#VALUE!</v>
      </c>
      <c r="BO41" s="340" t="e">
        <v>#VALUE!</v>
      </c>
      <c r="BP41" s="340" t="e">
        <v>#VALUE!</v>
      </c>
      <c r="BQ41" s="340" t="e">
        <v>#VALUE!</v>
      </c>
      <c r="BR41" s="340">
        <v>30.8909341728</v>
      </c>
      <c r="BS41" s="362">
        <f>BS43-BS42</f>
        <v>0</v>
      </c>
      <c r="BT41" s="362">
        <f>BT43-BT42</f>
        <v>0</v>
      </c>
      <c r="BU41" s="362">
        <f>BU43-BU42</f>
        <v>0</v>
      </c>
      <c r="BV41" s="362">
        <f>BV43-BV42</f>
        <v>0</v>
      </c>
    </row>
    <row r="42" spans="1:74" ht="12.75" hidden="1">
      <c r="A42" s="335"/>
      <c r="B42" s="336"/>
      <c r="C42" s="337"/>
      <c r="D42" s="338"/>
      <c r="E42" s="337"/>
      <c r="F42" s="359"/>
      <c r="G42" s="362">
        <f>G43*$I$4</f>
        <v>4.9932739999999995</v>
      </c>
      <c r="H42" s="362"/>
      <c r="I42" s="337" t="e">
        <f>M42*$I$4</f>
        <v>#VALUE!</v>
      </c>
      <c r="J42" s="362"/>
      <c r="K42" s="362"/>
      <c r="L42" s="337" t="s">
        <v>569</v>
      </c>
      <c r="M42" s="337" t="e">
        <f>L42*$M$4+L42</f>
        <v>#VALUE!</v>
      </c>
      <c r="N42" s="337" t="e">
        <f>M42-I42</f>
        <v>#VALUE!</v>
      </c>
      <c r="O42" s="362" t="e">
        <f aca="true" t="shared" si="37" ref="O42:AT42">O43*$I$4</f>
        <v>#VALUE!</v>
      </c>
      <c r="P42" s="362" t="e">
        <f t="shared" si="37"/>
        <v>#VALUE!</v>
      </c>
      <c r="Q42" s="362" t="e">
        <f t="shared" si="37"/>
        <v>#VALUE!</v>
      </c>
      <c r="R42" s="362" t="e">
        <f t="shared" si="37"/>
        <v>#VALUE!</v>
      </c>
      <c r="S42" s="362">
        <f t="shared" si="37"/>
        <v>6.242106000000001</v>
      </c>
      <c r="T42" s="362" t="e">
        <f t="shared" si="37"/>
        <v>#VALUE!</v>
      </c>
      <c r="U42" s="362" t="e">
        <f t="shared" si="37"/>
        <v>#VALUE!</v>
      </c>
      <c r="V42" s="362" t="e">
        <f t="shared" si="37"/>
        <v>#VALUE!</v>
      </c>
      <c r="W42" s="362" t="e">
        <f t="shared" si="37"/>
        <v>#VALUE!</v>
      </c>
      <c r="X42" s="362">
        <f t="shared" si="37"/>
        <v>4.9936848000000005</v>
      </c>
      <c r="Y42" s="362">
        <f t="shared" si="37"/>
        <v>6.866316600000001</v>
      </c>
      <c r="Z42" s="362" t="e">
        <f t="shared" si="37"/>
        <v>#VALUE!</v>
      </c>
      <c r="AA42" s="362" t="e">
        <f t="shared" si="37"/>
        <v>#VALUE!</v>
      </c>
      <c r="AB42" s="362" t="e">
        <f t="shared" si="37"/>
        <v>#VALUE!</v>
      </c>
      <c r="AC42" s="362" t="e">
        <f t="shared" si="37"/>
        <v>#VALUE!</v>
      </c>
      <c r="AD42" s="362">
        <f t="shared" si="37"/>
        <v>6.242106000000001</v>
      </c>
      <c r="AE42" s="362" t="e">
        <f t="shared" si="37"/>
        <v>#VALUE!</v>
      </c>
      <c r="AF42" s="362" t="e">
        <f t="shared" si="37"/>
        <v>#VALUE!</v>
      </c>
      <c r="AG42" s="362" t="e">
        <f t="shared" si="37"/>
        <v>#VALUE!</v>
      </c>
      <c r="AH42" s="362" t="e">
        <f t="shared" si="37"/>
        <v>#VALUE!</v>
      </c>
      <c r="AI42" s="362">
        <f t="shared" si="37"/>
        <v>8.7389484</v>
      </c>
      <c r="AJ42" s="362" t="e">
        <f t="shared" si="37"/>
        <v>#VALUE!</v>
      </c>
      <c r="AK42" s="362" t="e">
        <f t="shared" si="37"/>
        <v>#VALUE!</v>
      </c>
      <c r="AL42" s="362" t="e">
        <f t="shared" si="37"/>
        <v>#VALUE!</v>
      </c>
      <c r="AM42" s="362" t="e">
        <f t="shared" si="37"/>
        <v>#VALUE!</v>
      </c>
      <c r="AN42" s="362">
        <f t="shared" si="37"/>
        <v>6.866316600000001</v>
      </c>
      <c r="AO42" s="362" t="e">
        <f t="shared" si="37"/>
        <v>#VALUE!</v>
      </c>
      <c r="AP42" s="362" t="e">
        <f t="shared" si="37"/>
        <v>#VALUE!</v>
      </c>
      <c r="AQ42" s="362" t="e">
        <f t="shared" si="37"/>
        <v>#VALUE!</v>
      </c>
      <c r="AR42" s="362" t="e">
        <f t="shared" si="37"/>
        <v>#VALUE!</v>
      </c>
      <c r="AS42" s="362">
        <f t="shared" si="37"/>
        <v>8.114737799999999</v>
      </c>
      <c r="AT42" s="362" t="e">
        <f t="shared" si="37"/>
        <v>#VALUE!</v>
      </c>
      <c r="AU42" s="362" t="e">
        <f aca="true" t="shared" si="38" ref="AU42:BR42">AU43*$I$4</f>
        <v>#VALUE!</v>
      </c>
      <c r="AV42" s="362" t="e">
        <f t="shared" si="38"/>
        <v>#VALUE!</v>
      </c>
      <c r="AW42" s="362" t="e">
        <f t="shared" si="38"/>
        <v>#VALUE!</v>
      </c>
      <c r="AX42" s="362">
        <f t="shared" si="38"/>
        <v>7.490527200000002</v>
      </c>
      <c r="AY42" s="362" t="e">
        <f t="shared" si="38"/>
        <v>#VALUE!</v>
      </c>
      <c r="AZ42" s="362" t="e">
        <f t="shared" si="38"/>
        <v>#VALUE!</v>
      </c>
      <c r="BA42" s="362" t="e">
        <f t="shared" si="38"/>
        <v>#VALUE!</v>
      </c>
      <c r="BB42" s="362" t="e">
        <f t="shared" si="38"/>
        <v>#VALUE!</v>
      </c>
      <c r="BC42" s="362">
        <f t="shared" si="38"/>
        <v>8.114737799999999</v>
      </c>
      <c r="BD42" s="362" t="e">
        <f t="shared" si="38"/>
        <v>#VALUE!</v>
      </c>
      <c r="BE42" s="362" t="e">
        <f t="shared" si="38"/>
        <v>#VALUE!</v>
      </c>
      <c r="BF42" s="362" t="e">
        <f t="shared" si="38"/>
        <v>#VALUE!</v>
      </c>
      <c r="BG42" s="362" t="e">
        <f t="shared" si="38"/>
        <v>#VALUE!</v>
      </c>
      <c r="BH42" s="362">
        <f t="shared" si="38"/>
        <v>8.114737799999999</v>
      </c>
      <c r="BI42" s="362" t="e">
        <f t="shared" si="38"/>
        <v>#VALUE!</v>
      </c>
      <c r="BJ42" s="362" t="e">
        <f t="shared" si="38"/>
        <v>#VALUE!</v>
      </c>
      <c r="BK42" s="362" t="e">
        <f t="shared" si="38"/>
        <v>#VALUE!</v>
      </c>
      <c r="BL42" s="362" t="e">
        <f t="shared" si="38"/>
        <v>#VALUE!</v>
      </c>
      <c r="BM42" s="362">
        <f t="shared" si="38"/>
        <v>9.987369600000001</v>
      </c>
      <c r="BN42" s="362" t="e">
        <f t="shared" si="38"/>
        <v>#VALUE!</v>
      </c>
      <c r="BO42" s="362" t="e">
        <f t="shared" si="38"/>
        <v>#VALUE!</v>
      </c>
      <c r="BP42" s="362" t="e">
        <f t="shared" si="38"/>
        <v>#VALUE!</v>
      </c>
      <c r="BQ42" s="362" t="e">
        <f t="shared" si="38"/>
        <v>#VALUE!</v>
      </c>
      <c r="BR42" s="362">
        <f t="shared" si="38"/>
        <v>7.490527200000002</v>
      </c>
      <c r="BS42" s="339"/>
      <c r="BT42" s="337"/>
      <c r="BU42" s="337"/>
      <c r="BV42" s="337"/>
    </row>
    <row r="43" spans="1:74" ht="12.75" hidden="1">
      <c r="A43" s="335"/>
      <c r="B43" s="336"/>
      <c r="C43" s="337"/>
      <c r="D43" s="338"/>
      <c r="E43" s="337"/>
      <c r="F43" s="359">
        <v>0.45</v>
      </c>
      <c r="G43" s="337">
        <f>G44*$L$4+G44</f>
        <v>24.966369999999998</v>
      </c>
      <c r="H43" s="336">
        <v>0</v>
      </c>
      <c r="I43" s="337">
        <f>M43*$I$4</f>
        <v>0</v>
      </c>
      <c r="J43" s="337"/>
      <c r="K43" s="337" t="s">
        <v>569</v>
      </c>
      <c r="L43" s="337"/>
      <c r="M43" s="337"/>
      <c r="N43" s="337">
        <f>M43-I43</f>
        <v>0</v>
      </c>
      <c r="O43" s="337" t="e">
        <v>#VALUE!</v>
      </c>
      <c r="P43" s="337" t="e">
        <v>#VALUE!</v>
      </c>
      <c r="Q43" s="337" t="e">
        <v>#VALUE!</v>
      </c>
      <c r="R43" s="337" t="e">
        <v>#VALUE!</v>
      </c>
      <c r="S43" s="337">
        <f aca="true" t="shared" si="39" ref="S43:AX43">S44*$L$4+S44</f>
        <v>31.210530000000002</v>
      </c>
      <c r="T43" s="337" t="e">
        <f t="shared" si="39"/>
        <v>#VALUE!</v>
      </c>
      <c r="U43" s="337" t="e">
        <f t="shared" si="39"/>
        <v>#VALUE!</v>
      </c>
      <c r="V43" s="337" t="e">
        <f t="shared" si="39"/>
        <v>#VALUE!</v>
      </c>
      <c r="W43" s="337" t="e">
        <f t="shared" si="39"/>
        <v>#VALUE!</v>
      </c>
      <c r="X43" s="337">
        <f t="shared" si="39"/>
        <v>24.968424000000002</v>
      </c>
      <c r="Y43" s="337">
        <f t="shared" si="39"/>
        <v>34.331583</v>
      </c>
      <c r="Z43" s="337" t="e">
        <f t="shared" si="39"/>
        <v>#VALUE!</v>
      </c>
      <c r="AA43" s="337" t="e">
        <f t="shared" si="39"/>
        <v>#VALUE!</v>
      </c>
      <c r="AB43" s="337" t="e">
        <f t="shared" si="39"/>
        <v>#VALUE!</v>
      </c>
      <c r="AC43" s="337" t="e">
        <f t="shared" si="39"/>
        <v>#VALUE!</v>
      </c>
      <c r="AD43" s="337">
        <f t="shared" si="39"/>
        <v>31.210530000000002</v>
      </c>
      <c r="AE43" s="337" t="e">
        <f t="shared" si="39"/>
        <v>#VALUE!</v>
      </c>
      <c r="AF43" s="337" t="e">
        <f t="shared" si="39"/>
        <v>#VALUE!</v>
      </c>
      <c r="AG43" s="337" t="e">
        <f t="shared" si="39"/>
        <v>#VALUE!</v>
      </c>
      <c r="AH43" s="337" t="e">
        <f t="shared" si="39"/>
        <v>#VALUE!</v>
      </c>
      <c r="AI43" s="337">
        <f t="shared" si="39"/>
        <v>43.694742</v>
      </c>
      <c r="AJ43" s="337" t="e">
        <f t="shared" si="39"/>
        <v>#VALUE!</v>
      </c>
      <c r="AK43" s="337" t="e">
        <f t="shared" si="39"/>
        <v>#VALUE!</v>
      </c>
      <c r="AL43" s="337" t="e">
        <f t="shared" si="39"/>
        <v>#VALUE!</v>
      </c>
      <c r="AM43" s="337" t="e">
        <f t="shared" si="39"/>
        <v>#VALUE!</v>
      </c>
      <c r="AN43" s="337">
        <f t="shared" si="39"/>
        <v>34.331583</v>
      </c>
      <c r="AO43" s="337" t="e">
        <f t="shared" si="39"/>
        <v>#VALUE!</v>
      </c>
      <c r="AP43" s="337" t="e">
        <f t="shared" si="39"/>
        <v>#VALUE!</v>
      </c>
      <c r="AQ43" s="337" t="e">
        <f t="shared" si="39"/>
        <v>#VALUE!</v>
      </c>
      <c r="AR43" s="337" t="e">
        <f t="shared" si="39"/>
        <v>#VALUE!</v>
      </c>
      <c r="AS43" s="337">
        <f t="shared" si="39"/>
        <v>40.573688999999995</v>
      </c>
      <c r="AT43" s="337" t="e">
        <f t="shared" si="39"/>
        <v>#VALUE!</v>
      </c>
      <c r="AU43" s="337" t="e">
        <f t="shared" si="39"/>
        <v>#VALUE!</v>
      </c>
      <c r="AV43" s="337" t="e">
        <f t="shared" si="39"/>
        <v>#VALUE!</v>
      </c>
      <c r="AW43" s="337" t="e">
        <f t="shared" si="39"/>
        <v>#VALUE!</v>
      </c>
      <c r="AX43" s="337">
        <f t="shared" si="39"/>
        <v>37.452636000000005</v>
      </c>
      <c r="AY43" s="337" t="e">
        <f aca="true" t="shared" si="40" ref="AY43:BR43">AY44*$L$4+AY44</f>
        <v>#VALUE!</v>
      </c>
      <c r="AZ43" s="337" t="e">
        <f t="shared" si="40"/>
        <v>#VALUE!</v>
      </c>
      <c r="BA43" s="337" t="e">
        <f t="shared" si="40"/>
        <v>#VALUE!</v>
      </c>
      <c r="BB43" s="337" t="e">
        <f t="shared" si="40"/>
        <v>#VALUE!</v>
      </c>
      <c r="BC43" s="337">
        <f t="shared" si="40"/>
        <v>40.573688999999995</v>
      </c>
      <c r="BD43" s="337" t="e">
        <f t="shared" si="40"/>
        <v>#VALUE!</v>
      </c>
      <c r="BE43" s="337" t="e">
        <f t="shared" si="40"/>
        <v>#VALUE!</v>
      </c>
      <c r="BF43" s="337" t="e">
        <f t="shared" si="40"/>
        <v>#VALUE!</v>
      </c>
      <c r="BG43" s="337" t="e">
        <f t="shared" si="40"/>
        <v>#VALUE!</v>
      </c>
      <c r="BH43" s="337">
        <f t="shared" si="40"/>
        <v>40.573688999999995</v>
      </c>
      <c r="BI43" s="337" t="e">
        <f t="shared" si="40"/>
        <v>#VALUE!</v>
      </c>
      <c r="BJ43" s="337" t="e">
        <f t="shared" si="40"/>
        <v>#VALUE!</v>
      </c>
      <c r="BK43" s="337" t="e">
        <f t="shared" si="40"/>
        <v>#VALUE!</v>
      </c>
      <c r="BL43" s="337" t="e">
        <f t="shared" si="40"/>
        <v>#VALUE!</v>
      </c>
      <c r="BM43" s="337">
        <f t="shared" si="40"/>
        <v>49.936848000000005</v>
      </c>
      <c r="BN43" s="337" t="e">
        <f t="shared" si="40"/>
        <v>#VALUE!</v>
      </c>
      <c r="BO43" s="337" t="e">
        <f t="shared" si="40"/>
        <v>#VALUE!</v>
      </c>
      <c r="BP43" s="337" t="e">
        <f t="shared" si="40"/>
        <v>#VALUE!</v>
      </c>
      <c r="BQ43" s="337" t="e">
        <f t="shared" si="40"/>
        <v>#VALUE!</v>
      </c>
      <c r="BR43" s="337">
        <f t="shared" si="40"/>
        <v>37.452636000000005</v>
      </c>
      <c r="BS43" s="339"/>
      <c r="BT43" s="337"/>
      <c r="BU43" s="337"/>
      <c r="BV43" s="337"/>
    </row>
    <row r="44" spans="1:74" ht="12.75" hidden="1">
      <c r="A44" s="335"/>
      <c r="B44" s="336"/>
      <c r="C44" s="337"/>
      <c r="D44" s="338"/>
      <c r="E44" s="337"/>
      <c r="F44" s="359">
        <v>0.45</v>
      </c>
      <c r="G44" s="331">
        <v>24.31</v>
      </c>
      <c r="H44" s="336">
        <v>0</v>
      </c>
      <c r="I44" s="337">
        <f>M44*$I$4</f>
        <v>0.503128</v>
      </c>
      <c r="J44" s="337"/>
      <c r="K44" s="337" t="s">
        <v>569</v>
      </c>
      <c r="L44" s="337">
        <v>2.44</v>
      </c>
      <c r="M44" s="337">
        <f>L44*$M$4+L44</f>
        <v>2.51564</v>
      </c>
      <c r="N44" s="337">
        <f>M44-I44</f>
        <v>2.012512</v>
      </c>
      <c r="O44" s="337" t="e">
        <v>#VALUE!</v>
      </c>
      <c r="P44" s="337" t="e">
        <v>#VALUE!</v>
      </c>
      <c r="Q44" s="337" t="e">
        <v>#VALUE!</v>
      </c>
      <c r="R44" s="337" t="e">
        <v>#VALUE!</v>
      </c>
      <c r="S44" s="337">
        <v>30.39</v>
      </c>
      <c r="T44" s="337" t="e">
        <v>#VALUE!</v>
      </c>
      <c r="U44" s="337" t="e">
        <v>#VALUE!</v>
      </c>
      <c r="V44" s="337" t="e">
        <v>#VALUE!</v>
      </c>
      <c r="W44" s="337" t="e">
        <v>#VALUE!</v>
      </c>
      <c r="X44" s="337">
        <v>24.312</v>
      </c>
      <c r="Y44" s="337">
        <v>33.429</v>
      </c>
      <c r="Z44" s="337" t="e">
        <v>#VALUE!</v>
      </c>
      <c r="AA44" s="337" t="e">
        <v>#VALUE!</v>
      </c>
      <c r="AB44" s="337" t="e">
        <v>#VALUE!</v>
      </c>
      <c r="AC44" s="337" t="e">
        <v>#VALUE!</v>
      </c>
      <c r="AD44" s="337">
        <v>30.39</v>
      </c>
      <c r="AE44" s="337" t="e">
        <v>#VALUE!</v>
      </c>
      <c r="AF44" s="337" t="e">
        <v>#VALUE!</v>
      </c>
      <c r="AG44" s="337" t="e">
        <v>#VALUE!</v>
      </c>
      <c r="AH44" s="337" t="e">
        <v>#VALUE!</v>
      </c>
      <c r="AI44" s="337">
        <v>42.546</v>
      </c>
      <c r="AJ44" s="337" t="e">
        <v>#VALUE!</v>
      </c>
      <c r="AK44" s="337" t="e">
        <v>#VALUE!</v>
      </c>
      <c r="AL44" s="337" t="e">
        <v>#VALUE!</v>
      </c>
      <c r="AM44" s="337" t="e">
        <v>#VALUE!</v>
      </c>
      <c r="AN44" s="337">
        <v>33.429</v>
      </c>
      <c r="AO44" s="337" t="e">
        <v>#VALUE!</v>
      </c>
      <c r="AP44" s="337" t="e">
        <v>#VALUE!</v>
      </c>
      <c r="AQ44" s="337" t="e">
        <v>#VALUE!</v>
      </c>
      <c r="AR44" s="337" t="e">
        <v>#VALUE!</v>
      </c>
      <c r="AS44" s="337">
        <v>39.507</v>
      </c>
      <c r="AT44" s="337" t="e">
        <v>#VALUE!</v>
      </c>
      <c r="AU44" s="337" t="e">
        <v>#VALUE!</v>
      </c>
      <c r="AV44" s="337" t="e">
        <v>#VALUE!</v>
      </c>
      <c r="AW44" s="337" t="e">
        <v>#VALUE!</v>
      </c>
      <c r="AX44" s="337">
        <v>36.468</v>
      </c>
      <c r="AY44" s="337" t="e">
        <v>#VALUE!</v>
      </c>
      <c r="AZ44" s="337" t="e">
        <v>#VALUE!</v>
      </c>
      <c r="BA44" s="337" t="e">
        <v>#VALUE!</v>
      </c>
      <c r="BB44" s="337" t="e">
        <v>#VALUE!</v>
      </c>
      <c r="BC44" s="337">
        <v>39.507</v>
      </c>
      <c r="BD44" s="337" t="e">
        <v>#VALUE!</v>
      </c>
      <c r="BE44" s="337" t="e">
        <v>#VALUE!</v>
      </c>
      <c r="BF44" s="337" t="e">
        <v>#VALUE!</v>
      </c>
      <c r="BG44" s="337" t="e">
        <v>#VALUE!</v>
      </c>
      <c r="BH44" s="337">
        <v>39.507</v>
      </c>
      <c r="BI44" s="337" t="e">
        <v>#VALUE!</v>
      </c>
      <c r="BJ44" s="337" t="e">
        <v>#VALUE!</v>
      </c>
      <c r="BK44" s="337" t="e">
        <v>#VALUE!</v>
      </c>
      <c r="BL44" s="337" t="e">
        <v>#VALUE!</v>
      </c>
      <c r="BM44" s="337">
        <v>48.624</v>
      </c>
      <c r="BN44" s="337" t="e">
        <v>#VALUE!</v>
      </c>
      <c r="BO44" s="337" t="e">
        <v>#VALUE!</v>
      </c>
      <c r="BP44" s="337" t="e">
        <v>#VALUE!</v>
      </c>
      <c r="BQ44" s="337" t="e">
        <v>#VALUE!</v>
      </c>
      <c r="BR44" s="337">
        <v>36.468</v>
      </c>
      <c r="BS44" s="339"/>
      <c r="BT44" s="337"/>
      <c r="BU44" s="337"/>
      <c r="BV44" s="337"/>
    </row>
    <row r="45" spans="1:74" ht="12.75">
      <c r="A45" s="361" t="s">
        <v>658</v>
      </c>
      <c r="B45" s="336"/>
      <c r="C45" s="337"/>
      <c r="D45" s="338"/>
      <c r="E45" s="337"/>
      <c r="F45" s="359"/>
      <c r="G45" s="337"/>
      <c r="H45" s="336"/>
      <c r="I45" s="337"/>
      <c r="J45" s="337"/>
      <c r="K45" s="337"/>
      <c r="L45" s="337"/>
      <c r="M45" s="337"/>
      <c r="N45" s="337"/>
      <c r="O45" s="336"/>
      <c r="P45" s="337"/>
      <c r="Q45" s="337"/>
      <c r="R45" s="337"/>
      <c r="S45" s="337"/>
      <c r="T45" s="336"/>
      <c r="U45" s="337"/>
      <c r="V45" s="337"/>
      <c r="W45" s="337"/>
      <c r="X45" s="337"/>
      <c r="Y45" s="337"/>
      <c r="Z45" s="336"/>
      <c r="AA45" s="337"/>
      <c r="AB45" s="337"/>
      <c r="AC45" s="337"/>
      <c r="AD45" s="337"/>
      <c r="AE45" s="336"/>
      <c r="AF45" s="337"/>
      <c r="AG45" s="337"/>
      <c r="AH45" s="337"/>
      <c r="AI45" s="337"/>
      <c r="AJ45" s="336"/>
      <c r="AK45" s="337"/>
      <c r="AL45" s="337"/>
      <c r="AM45" s="337"/>
      <c r="AN45" s="337"/>
      <c r="AO45" s="336"/>
      <c r="AP45" s="337"/>
      <c r="AQ45" s="337"/>
      <c r="AR45" s="337"/>
      <c r="AS45" s="337"/>
      <c r="AT45" s="336"/>
      <c r="AU45" s="337"/>
      <c r="AV45" s="337"/>
      <c r="AW45" s="337"/>
      <c r="AX45" s="337"/>
      <c r="AY45" s="336"/>
      <c r="AZ45" s="337"/>
      <c r="BA45" s="337"/>
      <c r="BB45" s="337"/>
      <c r="BC45" s="337"/>
      <c r="BD45" s="336"/>
      <c r="BE45" s="337"/>
      <c r="BF45" s="337"/>
      <c r="BG45" s="337"/>
      <c r="BH45" s="337"/>
      <c r="BI45" s="336"/>
      <c r="BJ45" s="337"/>
      <c r="BK45" s="337"/>
      <c r="BL45" s="337"/>
      <c r="BM45" s="337"/>
      <c r="BN45" s="339"/>
      <c r="BO45" s="340"/>
      <c r="BP45" s="340"/>
      <c r="BQ45" s="340"/>
      <c r="BR45" s="340"/>
      <c r="BS45" s="339"/>
      <c r="BT45" s="337"/>
      <c r="BU45" s="337"/>
      <c r="BV45" s="337"/>
    </row>
    <row r="46" spans="1:74" ht="12.75">
      <c r="A46" s="335" t="s">
        <v>659</v>
      </c>
      <c r="B46" s="336">
        <v>3</v>
      </c>
      <c r="C46" s="337">
        <f aca="true" t="shared" si="41" ref="C46:C51">B46*8.5/100+B46</f>
        <v>3.255</v>
      </c>
      <c r="D46" s="338">
        <f>C46*2.1/100+C46+0.01</f>
        <v>3.3333549999999996</v>
      </c>
      <c r="E46" s="337">
        <f aca="true" t="shared" si="42" ref="E46:E51">D46*1.6/100+D46</f>
        <v>3.38668868</v>
      </c>
      <c r="F46" s="359"/>
      <c r="G46" s="337">
        <f>$N$46</f>
        <v>2.012512</v>
      </c>
      <c r="H46" s="336"/>
      <c r="I46" s="337">
        <f aca="true" t="shared" si="43" ref="I46:I51">M46*$I$4</f>
        <v>0.503128</v>
      </c>
      <c r="J46" s="337">
        <v>2.35</v>
      </c>
      <c r="K46" s="337">
        <v>2.38055</v>
      </c>
      <c r="L46" s="337">
        <v>2.44</v>
      </c>
      <c r="M46" s="337">
        <f aca="true" t="shared" si="44" ref="M46:M51">L46*$M$4+L46</f>
        <v>2.51564</v>
      </c>
      <c r="N46" s="337">
        <f aca="true" t="shared" si="45" ref="N46:N51">M46-I46</f>
        <v>2.012512</v>
      </c>
      <c r="O46" s="337">
        <v>2.35</v>
      </c>
      <c r="P46" s="337">
        <v>2.35</v>
      </c>
      <c r="Q46" s="337">
        <v>2.35</v>
      </c>
      <c r="R46" s="337">
        <v>2.35</v>
      </c>
      <c r="S46" s="337">
        <f aca="true" t="shared" si="46" ref="S46:AX46">$N$46</f>
        <v>2.012512</v>
      </c>
      <c r="T46" s="337">
        <f t="shared" si="46"/>
        <v>2.012512</v>
      </c>
      <c r="U46" s="337">
        <f t="shared" si="46"/>
        <v>2.012512</v>
      </c>
      <c r="V46" s="337">
        <f t="shared" si="46"/>
        <v>2.012512</v>
      </c>
      <c r="W46" s="337">
        <f t="shared" si="46"/>
        <v>2.012512</v>
      </c>
      <c r="X46" s="337">
        <f t="shared" si="46"/>
        <v>2.012512</v>
      </c>
      <c r="Y46" s="337">
        <f t="shared" si="46"/>
        <v>2.012512</v>
      </c>
      <c r="Z46" s="337">
        <f t="shared" si="46"/>
        <v>2.012512</v>
      </c>
      <c r="AA46" s="337">
        <f t="shared" si="46"/>
        <v>2.012512</v>
      </c>
      <c r="AB46" s="337">
        <f t="shared" si="46"/>
        <v>2.012512</v>
      </c>
      <c r="AC46" s="337">
        <f t="shared" si="46"/>
        <v>2.012512</v>
      </c>
      <c r="AD46" s="337">
        <f t="shared" si="46"/>
        <v>2.012512</v>
      </c>
      <c r="AE46" s="337">
        <f t="shared" si="46"/>
        <v>2.012512</v>
      </c>
      <c r="AF46" s="337">
        <f t="shared" si="46"/>
        <v>2.012512</v>
      </c>
      <c r="AG46" s="337">
        <f t="shared" si="46"/>
        <v>2.012512</v>
      </c>
      <c r="AH46" s="337">
        <f t="shared" si="46"/>
        <v>2.012512</v>
      </c>
      <c r="AI46" s="337">
        <f t="shared" si="46"/>
        <v>2.012512</v>
      </c>
      <c r="AJ46" s="337">
        <f t="shared" si="46"/>
        <v>2.012512</v>
      </c>
      <c r="AK46" s="337">
        <f t="shared" si="46"/>
        <v>2.012512</v>
      </c>
      <c r="AL46" s="337">
        <f t="shared" si="46"/>
        <v>2.012512</v>
      </c>
      <c r="AM46" s="337">
        <f t="shared" si="46"/>
        <v>2.012512</v>
      </c>
      <c r="AN46" s="337">
        <f t="shared" si="46"/>
        <v>2.012512</v>
      </c>
      <c r="AO46" s="337">
        <f t="shared" si="46"/>
        <v>2.012512</v>
      </c>
      <c r="AP46" s="337">
        <f t="shared" si="46"/>
        <v>2.012512</v>
      </c>
      <c r="AQ46" s="337">
        <f t="shared" si="46"/>
        <v>2.012512</v>
      </c>
      <c r="AR46" s="337">
        <f t="shared" si="46"/>
        <v>2.012512</v>
      </c>
      <c r="AS46" s="337">
        <f t="shared" si="46"/>
        <v>2.012512</v>
      </c>
      <c r="AT46" s="337">
        <f t="shared" si="46"/>
        <v>2.012512</v>
      </c>
      <c r="AU46" s="337">
        <f t="shared" si="46"/>
        <v>2.012512</v>
      </c>
      <c r="AV46" s="337">
        <f t="shared" si="46"/>
        <v>2.012512</v>
      </c>
      <c r="AW46" s="337">
        <f t="shared" si="46"/>
        <v>2.012512</v>
      </c>
      <c r="AX46" s="337">
        <f t="shared" si="46"/>
        <v>2.012512</v>
      </c>
      <c r="AY46" s="337">
        <f aca="true" t="shared" si="47" ref="AY46:BR46">$N$46</f>
        <v>2.012512</v>
      </c>
      <c r="AZ46" s="337">
        <f t="shared" si="47"/>
        <v>2.012512</v>
      </c>
      <c r="BA46" s="337">
        <f t="shared" si="47"/>
        <v>2.012512</v>
      </c>
      <c r="BB46" s="337">
        <f t="shared" si="47"/>
        <v>2.012512</v>
      </c>
      <c r="BC46" s="337">
        <f t="shared" si="47"/>
        <v>2.012512</v>
      </c>
      <c r="BD46" s="337">
        <f t="shared" si="47"/>
        <v>2.012512</v>
      </c>
      <c r="BE46" s="337">
        <f t="shared" si="47"/>
        <v>2.012512</v>
      </c>
      <c r="BF46" s="337">
        <f t="shared" si="47"/>
        <v>2.012512</v>
      </c>
      <c r="BG46" s="337">
        <f t="shared" si="47"/>
        <v>2.012512</v>
      </c>
      <c r="BH46" s="337">
        <f t="shared" si="47"/>
        <v>2.012512</v>
      </c>
      <c r="BI46" s="337">
        <f t="shared" si="47"/>
        <v>2.012512</v>
      </c>
      <c r="BJ46" s="337">
        <f t="shared" si="47"/>
        <v>2.012512</v>
      </c>
      <c r="BK46" s="337">
        <f t="shared" si="47"/>
        <v>2.012512</v>
      </c>
      <c r="BL46" s="337">
        <f t="shared" si="47"/>
        <v>2.012512</v>
      </c>
      <c r="BM46" s="337">
        <f t="shared" si="47"/>
        <v>2.012512</v>
      </c>
      <c r="BN46" s="337">
        <f t="shared" si="47"/>
        <v>2.012512</v>
      </c>
      <c r="BO46" s="337">
        <f t="shared" si="47"/>
        <v>2.012512</v>
      </c>
      <c r="BP46" s="337">
        <f t="shared" si="47"/>
        <v>2.012512</v>
      </c>
      <c r="BQ46" s="337">
        <f t="shared" si="47"/>
        <v>2.012512</v>
      </c>
      <c r="BR46" s="337">
        <f t="shared" si="47"/>
        <v>2.012512</v>
      </c>
      <c r="BS46" s="337">
        <v>2.35</v>
      </c>
      <c r="BT46" s="337">
        <v>2.35</v>
      </c>
      <c r="BU46" s="337">
        <v>2.35</v>
      </c>
      <c r="BV46" s="337">
        <v>2.35</v>
      </c>
    </row>
    <row r="47" spans="1:74" ht="12.75">
      <c r="A47" s="335" t="s">
        <v>660</v>
      </c>
      <c r="B47" s="336">
        <v>3</v>
      </c>
      <c r="C47" s="337">
        <f t="shared" si="41"/>
        <v>3.255</v>
      </c>
      <c r="D47" s="338">
        <f>C47*2.1/100+C47+0.01</f>
        <v>3.3333549999999996</v>
      </c>
      <c r="E47" s="337">
        <f t="shared" si="42"/>
        <v>3.38668868</v>
      </c>
      <c r="F47" s="359"/>
      <c r="G47" s="337">
        <f>$N$47</f>
        <v>2.012512</v>
      </c>
      <c r="H47" s="336"/>
      <c r="I47" s="337">
        <f t="shared" si="43"/>
        <v>0.503128</v>
      </c>
      <c r="J47" s="337">
        <v>2.35</v>
      </c>
      <c r="K47" s="337">
        <v>2.38055</v>
      </c>
      <c r="L47" s="337">
        <v>2.44</v>
      </c>
      <c r="M47" s="337">
        <f t="shared" si="44"/>
        <v>2.51564</v>
      </c>
      <c r="N47" s="337">
        <f t="shared" si="45"/>
        <v>2.012512</v>
      </c>
      <c r="O47" s="337">
        <v>2.35</v>
      </c>
      <c r="P47" s="337">
        <v>2.35</v>
      </c>
      <c r="Q47" s="337">
        <v>2.35</v>
      </c>
      <c r="R47" s="337">
        <v>2.35</v>
      </c>
      <c r="S47" s="337">
        <f aca="true" t="shared" si="48" ref="S47:AX47">$N$47</f>
        <v>2.012512</v>
      </c>
      <c r="T47" s="337">
        <f t="shared" si="48"/>
        <v>2.012512</v>
      </c>
      <c r="U47" s="337">
        <f t="shared" si="48"/>
        <v>2.012512</v>
      </c>
      <c r="V47" s="337">
        <f t="shared" si="48"/>
        <v>2.012512</v>
      </c>
      <c r="W47" s="337">
        <f t="shared" si="48"/>
        <v>2.012512</v>
      </c>
      <c r="X47" s="337">
        <f t="shared" si="48"/>
        <v>2.012512</v>
      </c>
      <c r="Y47" s="337">
        <f t="shared" si="48"/>
        <v>2.012512</v>
      </c>
      <c r="Z47" s="337">
        <f t="shared" si="48"/>
        <v>2.012512</v>
      </c>
      <c r="AA47" s="337">
        <f t="shared" si="48"/>
        <v>2.012512</v>
      </c>
      <c r="AB47" s="337">
        <f t="shared" si="48"/>
        <v>2.012512</v>
      </c>
      <c r="AC47" s="337">
        <f t="shared" si="48"/>
        <v>2.012512</v>
      </c>
      <c r="AD47" s="337">
        <f t="shared" si="48"/>
        <v>2.012512</v>
      </c>
      <c r="AE47" s="337">
        <f t="shared" si="48"/>
        <v>2.012512</v>
      </c>
      <c r="AF47" s="337">
        <f t="shared" si="48"/>
        <v>2.012512</v>
      </c>
      <c r="AG47" s="337">
        <f t="shared" si="48"/>
        <v>2.012512</v>
      </c>
      <c r="AH47" s="337">
        <f t="shared" si="48"/>
        <v>2.012512</v>
      </c>
      <c r="AI47" s="337">
        <f t="shared" si="48"/>
        <v>2.012512</v>
      </c>
      <c r="AJ47" s="337">
        <f t="shared" si="48"/>
        <v>2.012512</v>
      </c>
      <c r="AK47" s="337">
        <f t="shared" si="48"/>
        <v>2.012512</v>
      </c>
      <c r="AL47" s="337">
        <f t="shared" si="48"/>
        <v>2.012512</v>
      </c>
      <c r="AM47" s="337">
        <f t="shared" si="48"/>
        <v>2.012512</v>
      </c>
      <c r="AN47" s="337">
        <f t="shared" si="48"/>
        <v>2.012512</v>
      </c>
      <c r="AO47" s="337">
        <f t="shared" si="48"/>
        <v>2.012512</v>
      </c>
      <c r="AP47" s="337">
        <f t="shared" si="48"/>
        <v>2.012512</v>
      </c>
      <c r="AQ47" s="337">
        <f t="shared" si="48"/>
        <v>2.012512</v>
      </c>
      <c r="AR47" s="337">
        <f t="shared" si="48"/>
        <v>2.012512</v>
      </c>
      <c r="AS47" s="337">
        <f t="shared" si="48"/>
        <v>2.012512</v>
      </c>
      <c r="AT47" s="337">
        <f t="shared" si="48"/>
        <v>2.012512</v>
      </c>
      <c r="AU47" s="337">
        <f t="shared" si="48"/>
        <v>2.012512</v>
      </c>
      <c r="AV47" s="337">
        <f t="shared" si="48"/>
        <v>2.012512</v>
      </c>
      <c r="AW47" s="337">
        <f t="shared" si="48"/>
        <v>2.012512</v>
      </c>
      <c r="AX47" s="337">
        <f t="shared" si="48"/>
        <v>2.012512</v>
      </c>
      <c r="AY47" s="337">
        <f aca="true" t="shared" si="49" ref="AY47:BR47">$N$47</f>
        <v>2.012512</v>
      </c>
      <c r="AZ47" s="337">
        <f t="shared" si="49"/>
        <v>2.012512</v>
      </c>
      <c r="BA47" s="337">
        <f t="shared" si="49"/>
        <v>2.012512</v>
      </c>
      <c r="BB47" s="337">
        <f t="shared" si="49"/>
        <v>2.012512</v>
      </c>
      <c r="BC47" s="337">
        <f t="shared" si="49"/>
        <v>2.012512</v>
      </c>
      <c r="BD47" s="337">
        <f t="shared" si="49"/>
        <v>2.012512</v>
      </c>
      <c r="BE47" s="337">
        <f t="shared" si="49"/>
        <v>2.012512</v>
      </c>
      <c r="BF47" s="337">
        <f t="shared" si="49"/>
        <v>2.012512</v>
      </c>
      <c r="BG47" s="337">
        <f t="shared" si="49"/>
        <v>2.012512</v>
      </c>
      <c r="BH47" s="337">
        <f t="shared" si="49"/>
        <v>2.012512</v>
      </c>
      <c r="BI47" s="337">
        <f t="shared" si="49"/>
        <v>2.012512</v>
      </c>
      <c r="BJ47" s="337">
        <f t="shared" si="49"/>
        <v>2.012512</v>
      </c>
      <c r="BK47" s="337">
        <f t="shared" si="49"/>
        <v>2.012512</v>
      </c>
      <c r="BL47" s="337">
        <f t="shared" si="49"/>
        <v>2.012512</v>
      </c>
      <c r="BM47" s="337">
        <f t="shared" si="49"/>
        <v>2.012512</v>
      </c>
      <c r="BN47" s="337">
        <f t="shared" si="49"/>
        <v>2.012512</v>
      </c>
      <c r="BO47" s="337">
        <f t="shared" si="49"/>
        <v>2.012512</v>
      </c>
      <c r="BP47" s="337">
        <f t="shared" si="49"/>
        <v>2.012512</v>
      </c>
      <c r="BQ47" s="337">
        <f t="shared" si="49"/>
        <v>2.012512</v>
      </c>
      <c r="BR47" s="337">
        <f t="shared" si="49"/>
        <v>2.012512</v>
      </c>
      <c r="BS47" s="337">
        <v>2.35</v>
      </c>
      <c r="BT47" s="337">
        <v>2.35</v>
      </c>
      <c r="BU47" s="337">
        <v>2.35</v>
      </c>
      <c r="BV47" s="337">
        <v>2.35</v>
      </c>
    </row>
    <row r="48" spans="1:74" ht="12.75">
      <c r="A48" s="335" t="s">
        <v>661</v>
      </c>
      <c r="B48" s="336">
        <v>4</v>
      </c>
      <c r="C48" s="337">
        <f t="shared" si="41"/>
        <v>4.34</v>
      </c>
      <c r="D48" s="338">
        <f>C48*2.1/100+C48</f>
        <v>4.43114</v>
      </c>
      <c r="E48" s="337">
        <f t="shared" si="42"/>
        <v>4.50203824</v>
      </c>
      <c r="F48" s="359"/>
      <c r="G48" s="337">
        <f>$N$48</f>
        <v>2.012512</v>
      </c>
      <c r="H48" s="336"/>
      <c r="I48" s="337">
        <f t="shared" si="43"/>
        <v>0.503128</v>
      </c>
      <c r="J48" s="337">
        <v>2.35</v>
      </c>
      <c r="K48" s="337">
        <v>2.38055</v>
      </c>
      <c r="L48" s="337">
        <v>2.44</v>
      </c>
      <c r="M48" s="337">
        <f t="shared" si="44"/>
        <v>2.51564</v>
      </c>
      <c r="N48" s="337">
        <f t="shared" si="45"/>
        <v>2.012512</v>
      </c>
      <c r="O48" s="337">
        <v>2.35</v>
      </c>
      <c r="P48" s="337">
        <v>2.35</v>
      </c>
      <c r="Q48" s="337">
        <v>2.35</v>
      </c>
      <c r="R48" s="337">
        <v>2.35</v>
      </c>
      <c r="S48" s="337">
        <f aca="true" t="shared" si="50" ref="S48:AX48">$N$48</f>
        <v>2.012512</v>
      </c>
      <c r="T48" s="337">
        <f t="shared" si="50"/>
        <v>2.012512</v>
      </c>
      <c r="U48" s="337">
        <f t="shared" si="50"/>
        <v>2.012512</v>
      </c>
      <c r="V48" s="337">
        <f t="shared" si="50"/>
        <v>2.012512</v>
      </c>
      <c r="W48" s="337">
        <f t="shared" si="50"/>
        <v>2.012512</v>
      </c>
      <c r="X48" s="337">
        <f t="shared" si="50"/>
        <v>2.012512</v>
      </c>
      <c r="Y48" s="337">
        <f t="shared" si="50"/>
        <v>2.012512</v>
      </c>
      <c r="Z48" s="337">
        <f t="shared" si="50"/>
        <v>2.012512</v>
      </c>
      <c r="AA48" s="337">
        <f t="shared" si="50"/>
        <v>2.012512</v>
      </c>
      <c r="AB48" s="337">
        <f t="shared" si="50"/>
        <v>2.012512</v>
      </c>
      <c r="AC48" s="337">
        <f t="shared" si="50"/>
        <v>2.012512</v>
      </c>
      <c r="AD48" s="337">
        <f t="shared" si="50"/>
        <v>2.012512</v>
      </c>
      <c r="AE48" s="337">
        <f t="shared" si="50"/>
        <v>2.012512</v>
      </c>
      <c r="AF48" s="337">
        <f t="shared" si="50"/>
        <v>2.012512</v>
      </c>
      <c r="AG48" s="337">
        <f t="shared" si="50"/>
        <v>2.012512</v>
      </c>
      <c r="AH48" s="337">
        <f t="shared" si="50"/>
        <v>2.012512</v>
      </c>
      <c r="AI48" s="337">
        <f t="shared" si="50"/>
        <v>2.012512</v>
      </c>
      <c r="AJ48" s="337">
        <f t="shared" si="50"/>
        <v>2.012512</v>
      </c>
      <c r="AK48" s="337">
        <f t="shared" si="50"/>
        <v>2.012512</v>
      </c>
      <c r="AL48" s="337">
        <f t="shared" si="50"/>
        <v>2.012512</v>
      </c>
      <c r="AM48" s="337">
        <f t="shared" si="50"/>
        <v>2.012512</v>
      </c>
      <c r="AN48" s="337">
        <f t="shared" si="50"/>
        <v>2.012512</v>
      </c>
      <c r="AO48" s="337">
        <f t="shared" si="50"/>
        <v>2.012512</v>
      </c>
      <c r="AP48" s="337">
        <f t="shared" si="50"/>
        <v>2.012512</v>
      </c>
      <c r="AQ48" s="337">
        <f t="shared" si="50"/>
        <v>2.012512</v>
      </c>
      <c r="AR48" s="337">
        <f t="shared" si="50"/>
        <v>2.012512</v>
      </c>
      <c r="AS48" s="337">
        <f t="shared" si="50"/>
        <v>2.012512</v>
      </c>
      <c r="AT48" s="337">
        <f t="shared" si="50"/>
        <v>2.012512</v>
      </c>
      <c r="AU48" s="337">
        <f t="shared" si="50"/>
        <v>2.012512</v>
      </c>
      <c r="AV48" s="337">
        <f t="shared" si="50"/>
        <v>2.012512</v>
      </c>
      <c r="AW48" s="337">
        <f t="shared" si="50"/>
        <v>2.012512</v>
      </c>
      <c r="AX48" s="337">
        <f t="shared" si="50"/>
        <v>2.012512</v>
      </c>
      <c r="AY48" s="337">
        <f aca="true" t="shared" si="51" ref="AY48:BR48">$N$48</f>
        <v>2.012512</v>
      </c>
      <c r="AZ48" s="337">
        <f t="shared" si="51"/>
        <v>2.012512</v>
      </c>
      <c r="BA48" s="337">
        <f t="shared" si="51"/>
        <v>2.012512</v>
      </c>
      <c r="BB48" s="337">
        <f t="shared" si="51"/>
        <v>2.012512</v>
      </c>
      <c r="BC48" s="337">
        <f t="shared" si="51"/>
        <v>2.012512</v>
      </c>
      <c r="BD48" s="337">
        <f t="shared" si="51"/>
        <v>2.012512</v>
      </c>
      <c r="BE48" s="337">
        <f t="shared" si="51"/>
        <v>2.012512</v>
      </c>
      <c r="BF48" s="337">
        <f t="shared" si="51"/>
        <v>2.012512</v>
      </c>
      <c r="BG48" s="337">
        <f t="shared" si="51"/>
        <v>2.012512</v>
      </c>
      <c r="BH48" s="337">
        <f t="shared" si="51"/>
        <v>2.012512</v>
      </c>
      <c r="BI48" s="337">
        <f t="shared" si="51"/>
        <v>2.012512</v>
      </c>
      <c r="BJ48" s="337">
        <f t="shared" si="51"/>
        <v>2.012512</v>
      </c>
      <c r="BK48" s="337">
        <f t="shared" si="51"/>
        <v>2.012512</v>
      </c>
      <c r="BL48" s="337">
        <f t="shared" si="51"/>
        <v>2.012512</v>
      </c>
      <c r="BM48" s="337">
        <f t="shared" si="51"/>
        <v>2.012512</v>
      </c>
      <c r="BN48" s="337">
        <f t="shared" si="51"/>
        <v>2.012512</v>
      </c>
      <c r="BO48" s="337">
        <f t="shared" si="51"/>
        <v>2.012512</v>
      </c>
      <c r="BP48" s="337">
        <f t="shared" si="51"/>
        <v>2.012512</v>
      </c>
      <c r="BQ48" s="337">
        <f t="shared" si="51"/>
        <v>2.012512</v>
      </c>
      <c r="BR48" s="337">
        <f t="shared" si="51"/>
        <v>2.012512</v>
      </c>
      <c r="BS48" s="339"/>
      <c r="BT48" s="337"/>
      <c r="BU48" s="337"/>
      <c r="BV48" s="337"/>
    </row>
    <row r="49" spans="1:74" ht="12.75">
      <c r="A49" s="335" t="s">
        <v>662</v>
      </c>
      <c r="B49" s="336">
        <v>0</v>
      </c>
      <c r="C49" s="337">
        <f t="shared" si="41"/>
        <v>0</v>
      </c>
      <c r="D49" s="338">
        <f>C49*2.1/100+C49</f>
        <v>0</v>
      </c>
      <c r="E49" s="337">
        <f t="shared" si="42"/>
        <v>0</v>
      </c>
      <c r="F49" s="359"/>
      <c r="G49" s="337">
        <f>$N$49</f>
        <v>12.86688</v>
      </c>
      <c r="H49" s="336"/>
      <c r="I49" s="337">
        <f t="shared" si="43"/>
        <v>3.2167200000000005</v>
      </c>
      <c r="J49" s="337">
        <v>15</v>
      </c>
      <c r="K49" s="337">
        <v>15.195</v>
      </c>
      <c r="L49" s="337">
        <v>15.6</v>
      </c>
      <c r="M49" s="337">
        <f t="shared" si="44"/>
        <v>16.0836</v>
      </c>
      <c r="N49" s="337">
        <f t="shared" si="45"/>
        <v>12.86688</v>
      </c>
      <c r="O49" s="337">
        <v>15</v>
      </c>
      <c r="P49" s="337">
        <v>15</v>
      </c>
      <c r="Q49" s="337">
        <v>15</v>
      </c>
      <c r="R49" s="337">
        <v>15</v>
      </c>
      <c r="S49" s="337">
        <f aca="true" t="shared" si="52" ref="S49:AX49">$N$49</f>
        <v>12.86688</v>
      </c>
      <c r="T49" s="337">
        <f t="shared" si="52"/>
        <v>12.86688</v>
      </c>
      <c r="U49" s="337">
        <f t="shared" si="52"/>
        <v>12.86688</v>
      </c>
      <c r="V49" s="337">
        <f t="shared" si="52"/>
        <v>12.86688</v>
      </c>
      <c r="W49" s="337">
        <f t="shared" si="52"/>
        <v>12.86688</v>
      </c>
      <c r="X49" s="337">
        <f t="shared" si="52"/>
        <v>12.86688</v>
      </c>
      <c r="Y49" s="337">
        <f t="shared" si="52"/>
        <v>12.86688</v>
      </c>
      <c r="Z49" s="337">
        <f t="shared" si="52"/>
        <v>12.86688</v>
      </c>
      <c r="AA49" s="337">
        <f t="shared" si="52"/>
        <v>12.86688</v>
      </c>
      <c r="AB49" s="337">
        <f t="shared" si="52"/>
        <v>12.86688</v>
      </c>
      <c r="AC49" s="337">
        <f t="shared" si="52"/>
        <v>12.86688</v>
      </c>
      <c r="AD49" s="337">
        <f t="shared" si="52"/>
        <v>12.86688</v>
      </c>
      <c r="AE49" s="337">
        <f t="shared" si="52"/>
        <v>12.86688</v>
      </c>
      <c r="AF49" s="337">
        <f t="shared" si="52"/>
        <v>12.86688</v>
      </c>
      <c r="AG49" s="337">
        <f t="shared" si="52"/>
        <v>12.86688</v>
      </c>
      <c r="AH49" s="337">
        <f t="shared" si="52"/>
        <v>12.86688</v>
      </c>
      <c r="AI49" s="337">
        <f t="shared" si="52"/>
        <v>12.86688</v>
      </c>
      <c r="AJ49" s="337">
        <f t="shared" si="52"/>
        <v>12.86688</v>
      </c>
      <c r="AK49" s="337">
        <f t="shared" si="52"/>
        <v>12.86688</v>
      </c>
      <c r="AL49" s="337">
        <f t="shared" si="52"/>
        <v>12.86688</v>
      </c>
      <c r="AM49" s="337">
        <f t="shared" si="52"/>
        <v>12.86688</v>
      </c>
      <c r="AN49" s="337">
        <f t="shared" si="52"/>
        <v>12.86688</v>
      </c>
      <c r="AO49" s="337">
        <f t="shared" si="52"/>
        <v>12.86688</v>
      </c>
      <c r="AP49" s="337">
        <f t="shared" si="52"/>
        <v>12.86688</v>
      </c>
      <c r="AQ49" s="337">
        <f t="shared" si="52"/>
        <v>12.86688</v>
      </c>
      <c r="AR49" s="337">
        <f t="shared" si="52"/>
        <v>12.86688</v>
      </c>
      <c r="AS49" s="337">
        <f t="shared" si="52"/>
        <v>12.86688</v>
      </c>
      <c r="AT49" s="337">
        <f t="shared" si="52"/>
        <v>12.86688</v>
      </c>
      <c r="AU49" s="337">
        <f t="shared" si="52"/>
        <v>12.86688</v>
      </c>
      <c r="AV49" s="337">
        <f t="shared" si="52"/>
        <v>12.86688</v>
      </c>
      <c r="AW49" s="337">
        <f t="shared" si="52"/>
        <v>12.86688</v>
      </c>
      <c r="AX49" s="337">
        <f t="shared" si="52"/>
        <v>12.86688</v>
      </c>
      <c r="AY49" s="337">
        <f aca="true" t="shared" si="53" ref="AY49:BR49">$N$49</f>
        <v>12.86688</v>
      </c>
      <c r="AZ49" s="337">
        <f t="shared" si="53"/>
        <v>12.86688</v>
      </c>
      <c r="BA49" s="337">
        <f t="shared" si="53"/>
        <v>12.86688</v>
      </c>
      <c r="BB49" s="337">
        <f t="shared" si="53"/>
        <v>12.86688</v>
      </c>
      <c r="BC49" s="337">
        <f t="shared" si="53"/>
        <v>12.86688</v>
      </c>
      <c r="BD49" s="337">
        <f t="shared" si="53"/>
        <v>12.86688</v>
      </c>
      <c r="BE49" s="337">
        <f t="shared" si="53"/>
        <v>12.86688</v>
      </c>
      <c r="BF49" s="337">
        <f t="shared" si="53"/>
        <v>12.86688</v>
      </c>
      <c r="BG49" s="337">
        <f t="shared" si="53"/>
        <v>12.86688</v>
      </c>
      <c r="BH49" s="337">
        <f t="shared" si="53"/>
        <v>12.86688</v>
      </c>
      <c r="BI49" s="337">
        <f t="shared" si="53"/>
        <v>12.86688</v>
      </c>
      <c r="BJ49" s="337">
        <f t="shared" si="53"/>
        <v>12.86688</v>
      </c>
      <c r="BK49" s="337">
        <f t="shared" si="53"/>
        <v>12.86688</v>
      </c>
      <c r="BL49" s="337">
        <f t="shared" si="53"/>
        <v>12.86688</v>
      </c>
      <c r="BM49" s="337">
        <f t="shared" si="53"/>
        <v>12.86688</v>
      </c>
      <c r="BN49" s="337">
        <f t="shared" si="53"/>
        <v>12.86688</v>
      </c>
      <c r="BO49" s="337">
        <f t="shared" si="53"/>
        <v>12.86688</v>
      </c>
      <c r="BP49" s="337">
        <f t="shared" si="53"/>
        <v>12.86688</v>
      </c>
      <c r="BQ49" s="337">
        <f t="shared" si="53"/>
        <v>12.86688</v>
      </c>
      <c r="BR49" s="337">
        <f t="shared" si="53"/>
        <v>12.86688</v>
      </c>
      <c r="BS49" s="336"/>
      <c r="BT49" s="337"/>
      <c r="BU49" s="337"/>
      <c r="BV49" s="337"/>
    </row>
    <row r="50" spans="1:74" ht="12.75">
      <c r="A50" s="335" t="s">
        <v>663</v>
      </c>
      <c r="B50" s="336">
        <v>16</v>
      </c>
      <c r="C50" s="337">
        <f t="shared" si="41"/>
        <v>17.36</v>
      </c>
      <c r="D50" s="338">
        <f>C50*2.1/100+C50</f>
        <v>17.72456</v>
      </c>
      <c r="E50" s="337">
        <f t="shared" si="42"/>
        <v>18.00815296</v>
      </c>
      <c r="F50" s="359"/>
      <c r="G50" s="337">
        <f>$N$50</f>
        <v>21.4448</v>
      </c>
      <c r="H50" s="336"/>
      <c r="I50" s="337">
        <f t="shared" si="43"/>
        <v>5.3612</v>
      </c>
      <c r="J50" s="337">
        <v>25</v>
      </c>
      <c r="K50" s="337">
        <v>25.325</v>
      </c>
      <c r="L50" s="337">
        <v>26</v>
      </c>
      <c r="M50" s="337">
        <f t="shared" si="44"/>
        <v>26.806</v>
      </c>
      <c r="N50" s="337">
        <f t="shared" si="45"/>
        <v>21.4448</v>
      </c>
      <c r="O50" s="337">
        <v>25</v>
      </c>
      <c r="P50" s="337">
        <v>25</v>
      </c>
      <c r="Q50" s="337">
        <v>25</v>
      </c>
      <c r="R50" s="337">
        <v>25</v>
      </c>
      <c r="S50" s="337">
        <f aca="true" t="shared" si="54" ref="S50:AX50">$N$50</f>
        <v>21.4448</v>
      </c>
      <c r="T50" s="337">
        <f t="shared" si="54"/>
        <v>21.4448</v>
      </c>
      <c r="U50" s="337">
        <f t="shared" si="54"/>
        <v>21.4448</v>
      </c>
      <c r="V50" s="337">
        <f t="shared" si="54"/>
        <v>21.4448</v>
      </c>
      <c r="W50" s="337">
        <f t="shared" si="54"/>
        <v>21.4448</v>
      </c>
      <c r="X50" s="337">
        <f t="shared" si="54"/>
        <v>21.4448</v>
      </c>
      <c r="Y50" s="337">
        <f t="shared" si="54"/>
        <v>21.4448</v>
      </c>
      <c r="Z50" s="337">
        <f t="shared" si="54"/>
        <v>21.4448</v>
      </c>
      <c r="AA50" s="337">
        <f t="shared" si="54"/>
        <v>21.4448</v>
      </c>
      <c r="AB50" s="337">
        <f t="shared" si="54"/>
        <v>21.4448</v>
      </c>
      <c r="AC50" s="337">
        <f t="shared" si="54"/>
        <v>21.4448</v>
      </c>
      <c r="AD50" s="337">
        <f t="shared" si="54"/>
        <v>21.4448</v>
      </c>
      <c r="AE50" s="337">
        <f t="shared" si="54"/>
        <v>21.4448</v>
      </c>
      <c r="AF50" s="337">
        <f t="shared" si="54"/>
        <v>21.4448</v>
      </c>
      <c r="AG50" s="337">
        <f t="shared" si="54"/>
        <v>21.4448</v>
      </c>
      <c r="AH50" s="337">
        <f t="shared" si="54"/>
        <v>21.4448</v>
      </c>
      <c r="AI50" s="337">
        <f t="shared" si="54"/>
        <v>21.4448</v>
      </c>
      <c r="AJ50" s="337">
        <f t="shared" si="54"/>
        <v>21.4448</v>
      </c>
      <c r="AK50" s="337">
        <f t="shared" si="54"/>
        <v>21.4448</v>
      </c>
      <c r="AL50" s="337">
        <f t="shared" si="54"/>
        <v>21.4448</v>
      </c>
      <c r="AM50" s="337">
        <f t="shared" si="54"/>
        <v>21.4448</v>
      </c>
      <c r="AN50" s="337">
        <f t="shared" si="54"/>
        <v>21.4448</v>
      </c>
      <c r="AO50" s="337">
        <f t="shared" si="54"/>
        <v>21.4448</v>
      </c>
      <c r="AP50" s="337">
        <f t="shared" si="54"/>
        <v>21.4448</v>
      </c>
      <c r="AQ50" s="337">
        <f t="shared" si="54"/>
        <v>21.4448</v>
      </c>
      <c r="AR50" s="337">
        <f t="shared" si="54"/>
        <v>21.4448</v>
      </c>
      <c r="AS50" s="337">
        <f t="shared" si="54"/>
        <v>21.4448</v>
      </c>
      <c r="AT50" s="337">
        <f t="shared" si="54"/>
        <v>21.4448</v>
      </c>
      <c r="AU50" s="337">
        <f t="shared" si="54"/>
        <v>21.4448</v>
      </c>
      <c r="AV50" s="337">
        <f t="shared" si="54"/>
        <v>21.4448</v>
      </c>
      <c r="AW50" s="337">
        <f t="shared" si="54"/>
        <v>21.4448</v>
      </c>
      <c r="AX50" s="337">
        <f t="shared" si="54"/>
        <v>21.4448</v>
      </c>
      <c r="AY50" s="337">
        <f aca="true" t="shared" si="55" ref="AY50:BR50">$N$50</f>
        <v>21.4448</v>
      </c>
      <c r="AZ50" s="337">
        <f t="shared" si="55"/>
        <v>21.4448</v>
      </c>
      <c r="BA50" s="337">
        <f t="shared" si="55"/>
        <v>21.4448</v>
      </c>
      <c r="BB50" s="337">
        <f t="shared" si="55"/>
        <v>21.4448</v>
      </c>
      <c r="BC50" s="337">
        <f t="shared" si="55"/>
        <v>21.4448</v>
      </c>
      <c r="BD50" s="337">
        <f t="shared" si="55"/>
        <v>21.4448</v>
      </c>
      <c r="BE50" s="337">
        <f t="shared" si="55"/>
        <v>21.4448</v>
      </c>
      <c r="BF50" s="337">
        <f t="shared" si="55"/>
        <v>21.4448</v>
      </c>
      <c r="BG50" s="337">
        <f t="shared" si="55"/>
        <v>21.4448</v>
      </c>
      <c r="BH50" s="337">
        <f t="shared" si="55"/>
        <v>21.4448</v>
      </c>
      <c r="BI50" s="337">
        <f t="shared" si="55"/>
        <v>21.4448</v>
      </c>
      <c r="BJ50" s="337">
        <f t="shared" si="55"/>
        <v>21.4448</v>
      </c>
      <c r="BK50" s="337">
        <f t="shared" si="55"/>
        <v>21.4448</v>
      </c>
      <c r="BL50" s="337">
        <f t="shared" si="55"/>
        <v>21.4448</v>
      </c>
      <c r="BM50" s="337">
        <f t="shared" si="55"/>
        <v>21.4448</v>
      </c>
      <c r="BN50" s="337">
        <f t="shared" si="55"/>
        <v>21.4448</v>
      </c>
      <c r="BO50" s="337">
        <f t="shared" si="55"/>
        <v>21.4448</v>
      </c>
      <c r="BP50" s="337">
        <f t="shared" si="55"/>
        <v>21.4448</v>
      </c>
      <c r="BQ50" s="337">
        <f t="shared" si="55"/>
        <v>21.4448</v>
      </c>
      <c r="BR50" s="337">
        <f t="shared" si="55"/>
        <v>21.4448</v>
      </c>
      <c r="BS50" s="339"/>
      <c r="BT50" s="337"/>
      <c r="BU50" s="337"/>
      <c r="BV50" s="337"/>
    </row>
    <row r="51" spans="1:74" ht="12.75">
      <c r="A51" s="335" t="s">
        <v>664</v>
      </c>
      <c r="B51" s="336">
        <v>8</v>
      </c>
      <c r="C51" s="337">
        <f t="shared" si="41"/>
        <v>8.68</v>
      </c>
      <c r="D51" s="338">
        <f>C51*2.1/100+C51</f>
        <v>8.86228</v>
      </c>
      <c r="E51" s="337">
        <f t="shared" si="42"/>
        <v>9.00407648</v>
      </c>
      <c r="F51" s="359"/>
      <c r="G51" s="337">
        <f>$N$51</f>
        <v>2.565128</v>
      </c>
      <c r="H51" s="336"/>
      <c r="I51" s="337">
        <f t="shared" si="43"/>
        <v>0.641282</v>
      </c>
      <c r="J51" s="337">
        <v>3</v>
      </c>
      <c r="K51" s="337">
        <v>3.039</v>
      </c>
      <c r="L51" s="337">
        <v>3.11</v>
      </c>
      <c r="M51" s="337">
        <f t="shared" si="44"/>
        <v>3.20641</v>
      </c>
      <c r="N51" s="337">
        <f t="shared" si="45"/>
        <v>2.565128</v>
      </c>
      <c r="O51" s="337">
        <v>3</v>
      </c>
      <c r="P51" s="337">
        <v>3</v>
      </c>
      <c r="Q51" s="337">
        <v>3</v>
      </c>
      <c r="R51" s="337">
        <v>3</v>
      </c>
      <c r="S51" s="337">
        <f aca="true" t="shared" si="56" ref="S51:AX51">$N$51</f>
        <v>2.565128</v>
      </c>
      <c r="T51" s="337">
        <f t="shared" si="56"/>
        <v>2.565128</v>
      </c>
      <c r="U51" s="337">
        <f t="shared" si="56"/>
        <v>2.565128</v>
      </c>
      <c r="V51" s="337">
        <f t="shared" si="56"/>
        <v>2.565128</v>
      </c>
      <c r="W51" s="337">
        <f t="shared" si="56"/>
        <v>2.565128</v>
      </c>
      <c r="X51" s="337">
        <f t="shared" si="56"/>
        <v>2.565128</v>
      </c>
      <c r="Y51" s="337">
        <f t="shared" si="56"/>
        <v>2.565128</v>
      </c>
      <c r="Z51" s="337">
        <f t="shared" si="56"/>
        <v>2.565128</v>
      </c>
      <c r="AA51" s="337">
        <f t="shared" si="56"/>
        <v>2.565128</v>
      </c>
      <c r="AB51" s="337">
        <f t="shared" si="56"/>
        <v>2.565128</v>
      </c>
      <c r="AC51" s="337">
        <f t="shared" si="56"/>
        <v>2.565128</v>
      </c>
      <c r="AD51" s="337">
        <f t="shared" si="56"/>
        <v>2.565128</v>
      </c>
      <c r="AE51" s="337">
        <f t="shared" si="56"/>
        <v>2.565128</v>
      </c>
      <c r="AF51" s="337">
        <f t="shared" si="56"/>
        <v>2.565128</v>
      </c>
      <c r="AG51" s="337">
        <f t="shared" si="56"/>
        <v>2.565128</v>
      </c>
      <c r="AH51" s="337">
        <f t="shared" si="56"/>
        <v>2.565128</v>
      </c>
      <c r="AI51" s="337">
        <f t="shared" si="56"/>
        <v>2.565128</v>
      </c>
      <c r="AJ51" s="337">
        <f t="shared" si="56"/>
        <v>2.565128</v>
      </c>
      <c r="AK51" s="337">
        <f t="shared" si="56"/>
        <v>2.565128</v>
      </c>
      <c r="AL51" s="337">
        <f t="shared" si="56"/>
        <v>2.565128</v>
      </c>
      <c r="AM51" s="337">
        <f t="shared" si="56"/>
        <v>2.565128</v>
      </c>
      <c r="AN51" s="337">
        <f t="shared" si="56"/>
        <v>2.565128</v>
      </c>
      <c r="AO51" s="337">
        <f t="shared" si="56"/>
        <v>2.565128</v>
      </c>
      <c r="AP51" s="337">
        <f t="shared" si="56"/>
        <v>2.565128</v>
      </c>
      <c r="AQ51" s="337">
        <f t="shared" si="56"/>
        <v>2.565128</v>
      </c>
      <c r="AR51" s="337">
        <f t="shared" si="56"/>
        <v>2.565128</v>
      </c>
      <c r="AS51" s="337">
        <f t="shared" si="56"/>
        <v>2.565128</v>
      </c>
      <c r="AT51" s="337">
        <f t="shared" si="56"/>
        <v>2.565128</v>
      </c>
      <c r="AU51" s="337">
        <f t="shared" si="56"/>
        <v>2.565128</v>
      </c>
      <c r="AV51" s="337">
        <f t="shared" si="56"/>
        <v>2.565128</v>
      </c>
      <c r="AW51" s="337">
        <f t="shared" si="56"/>
        <v>2.565128</v>
      </c>
      <c r="AX51" s="337">
        <f t="shared" si="56"/>
        <v>2.565128</v>
      </c>
      <c r="AY51" s="337">
        <f aca="true" t="shared" si="57" ref="AY51:BR51">$N$51</f>
        <v>2.565128</v>
      </c>
      <c r="AZ51" s="337">
        <f t="shared" si="57"/>
        <v>2.565128</v>
      </c>
      <c r="BA51" s="337">
        <f t="shared" si="57"/>
        <v>2.565128</v>
      </c>
      <c r="BB51" s="337">
        <f t="shared" si="57"/>
        <v>2.565128</v>
      </c>
      <c r="BC51" s="337">
        <f t="shared" si="57"/>
        <v>2.565128</v>
      </c>
      <c r="BD51" s="337">
        <f t="shared" si="57"/>
        <v>2.565128</v>
      </c>
      <c r="BE51" s="337">
        <f t="shared" si="57"/>
        <v>2.565128</v>
      </c>
      <c r="BF51" s="337">
        <f t="shared" si="57"/>
        <v>2.565128</v>
      </c>
      <c r="BG51" s="337">
        <f t="shared" si="57"/>
        <v>2.565128</v>
      </c>
      <c r="BH51" s="337">
        <f t="shared" si="57"/>
        <v>2.565128</v>
      </c>
      <c r="BI51" s="337">
        <f t="shared" si="57"/>
        <v>2.565128</v>
      </c>
      <c r="BJ51" s="337">
        <f t="shared" si="57"/>
        <v>2.565128</v>
      </c>
      <c r="BK51" s="337">
        <f t="shared" si="57"/>
        <v>2.565128</v>
      </c>
      <c r="BL51" s="337">
        <f t="shared" si="57"/>
        <v>2.565128</v>
      </c>
      <c r="BM51" s="337">
        <f t="shared" si="57"/>
        <v>2.565128</v>
      </c>
      <c r="BN51" s="337">
        <f t="shared" si="57"/>
        <v>2.565128</v>
      </c>
      <c r="BO51" s="337">
        <f t="shared" si="57"/>
        <v>2.565128</v>
      </c>
      <c r="BP51" s="337">
        <f t="shared" si="57"/>
        <v>2.565128</v>
      </c>
      <c r="BQ51" s="337">
        <f t="shared" si="57"/>
        <v>2.565128</v>
      </c>
      <c r="BR51" s="337">
        <f t="shared" si="57"/>
        <v>2.565128</v>
      </c>
      <c r="BS51" s="339"/>
      <c r="BT51" s="337"/>
      <c r="BU51" s="337"/>
      <c r="BV51" s="337"/>
    </row>
    <row r="52" ht="12.75">
      <c r="N52" s="337"/>
    </row>
    <row r="53" spans="1:74" ht="12.75">
      <c r="A53" s="335" t="s">
        <v>665</v>
      </c>
      <c r="B53" s="336">
        <v>5</v>
      </c>
      <c r="C53" s="337">
        <f>B53*8.5/100+B53</f>
        <v>5.425</v>
      </c>
      <c r="D53" s="338">
        <f>C53*2.1/100+C53</f>
        <v>5.538925</v>
      </c>
      <c r="E53" s="337">
        <f>D53*1.6/100+D53</f>
        <v>5.6275478</v>
      </c>
      <c r="F53" s="359"/>
      <c r="G53" s="337"/>
      <c r="H53" s="336"/>
      <c r="I53" s="337"/>
      <c r="J53" s="337"/>
      <c r="K53" s="337"/>
      <c r="L53" s="337"/>
      <c r="M53" s="337"/>
      <c r="N53" s="337"/>
      <c r="O53" s="336"/>
      <c r="P53" s="337"/>
      <c r="Q53" s="337"/>
      <c r="R53" s="337"/>
      <c r="S53" s="337"/>
      <c r="T53" s="336"/>
      <c r="U53" s="337"/>
      <c r="V53" s="337"/>
      <c r="W53" s="337"/>
      <c r="X53" s="337"/>
      <c r="Y53" s="337"/>
      <c r="Z53" s="336"/>
      <c r="AA53" s="337"/>
      <c r="AB53" s="337"/>
      <c r="AC53" s="337"/>
      <c r="AD53" s="337"/>
      <c r="AE53" s="336"/>
      <c r="AF53" s="337"/>
      <c r="AG53" s="337"/>
      <c r="AH53" s="337"/>
      <c r="AI53" s="337"/>
      <c r="AJ53" s="336"/>
      <c r="AK53" s="337"/>
      <c r="AL53" s="337"/>
      <c r="AM53" s="337"/>
      <c r="AN53" s="337"/>
      <c r="AO53" s="336"/>
      <c r="AP53" s="337"/>
      <c r="AQ53" s="337"/>
      <c r="AR53" s="337"/>
      <c r="AS53" s="337"/>
      <c r="AT53" s="336"/>
      <c r="AU53" s="337"/>
      <c r="AV53" s="337"/>
      <c r="AW53" s="337"/>
      <c r="AX53" s="337"/>
      <c r="AY53" s="336"/>
      <c r="AZ53" s="337"/>
      <c r="BA53" s="337"/>
      <c r="BB53" s="337"/>
      <c r="BC53" s="337"/>
      <c r="BD53" s="336"/>
      <c r="BE53" s="337"/>
      <c r="BF53" s="337"/>
      <c r="BG53" s="337"/>
      <c r="BH53" s="337"/>
      <c r="BI53" s="336"/>
      <c r="BJ53" s="337"/>
      <c r="BK53" s="337"/>
      <c r="BL53" s="337"/>
      <c r="BM53" s="337"/>
      <c r="BN53" s="339"/>
      <c r="BO53" s="340"/>
      <c r="BP53" s="340"/>
      <c r="BQ53" s="340"/>
      <c r="BR53" s="340"/>
      <c r="BS53" s="339"/>
      <c r="BT53" s="337"/>
      <c r="BU53" s="337"/>
      <c r="BV53" s="337"/>
    </row>
    <row r="54" spans="1:74" ht="12.75">
      <c r="A54" s="335" t="s">
        <v>666</v>
      </c>
      <c r="B54" s="336">
        <v>3</v>
      </c>
      <c r="C54" s="337">
        <f>B54*8.5/100+B54</f>
        <v>3.255</v>
      </c>
      <c r="D54" s="338">
        <f>C54*2.1/100+C54+0.01</f>
        <v>3.3333549999999996</v>
      </c>
      <c r="E54" s="337">
        <f>D54*1.6/100+D54</f>
        <v>3.38668868</v>
      </c>
      <c r="F54" s="359"/>
      <c r="G54" s="337"/>
      <c r="H54" s="336"/>
      <c r="I54" s="337"/>
      <c r="J54" s="337"/>
      <c r="K54" s="337"/>
      <c r="L54" s="337"/>
      <c r="M54" s="337"/>
      <c r="N54" s="337"/>
      <c r="O54" s="336"/>
      <c r="P54" s="337"/>
      <c r="Q54" s="337"/>
      <c r="R54" s="337"/>
      <c r="S54" s="337"/>
      <c r="T54" s="336"/>
      <c r="U54" s="337"/>
      <c r="V54" s="337"/>
      <c r="W54" s="337"/>
      <c r="X54" s="337"/>
      <c r="Y54" s="337"/>
      <c r="Z54" s="336"/>
      <c r="AA54" s="337"/>
      <c r="AB54" s="337"/>
      <c r="AC54" s="337"/>
      <c r="AD54" s="337"/>
      <c r="AE54" s="336"/>
      <c r="AF54" s="337"/>
      <c r="AG54" s="337"/>
      <c r="AH54" s="337"/>
      <c r="AI54" s="337"/>
      <c r="AJ54" s="336"/>
      <c r="AK54" s="337"/>
      <c r="AL54" s="337"/>
      <c r="AM54" s="337"/>
      <c r="AN54" s="337"/>
      <c r="AO54" s="336"/>
      <c r="AP54" s="337"/>
      <c r="AQ54" s="337"/>
      <c r="AR54" s="337"/>
      <c r="AS54" s="337"/>
      <c r="AT54" s="336"/>
      <c r="AU54" s="337"/>
      <c r="AV54" s="337"/>
      <c r="AW54" s="337"/>
      <c r="AX54" s="337"/>
      <c r="AY54" s="336"/>
      <c r="AZ54" s="337"/>
      <c r="BA54" s="337"/>
      <c r="BB54" s="337"/>
      <c r="BC54" s="337"/>
      <c r="BD54" s="336"/>
      <c r="BE54" s="337"/>
      <c r="BF54" s="337"/>
      <c r="BG54" s="337"/>
      <c r="BH54" s="337"/>
      <c r="BI54" s="336"/>
      <c r="BJ54" s="337"/>
      <c r="BK54" s="337"/>
      <c r="BL54" s="337"/>
      <c r="BM54" s="337"/>
      <c r="BN54" s="339"/>
      <c r="BO54" s="340"/>
      <c r="BP54" s="340"/>
      <c r="BQ54" s="340"/>
      <c r="BR54" s="340"/>
      <c r="BS54" s="339"/>
      <c r="BT54" s="337"/>
      <c r="BU54" s="337"/>
      <c r="BV54" s="337"/>
    </row>
    <row r="55" spans="1:74" ht="12.75">
      <c r="A55" s="382" t="s">
        <v>667</v>
      </c>
      <c r="B55" s="383"/>
      <c r="C55" s="383"/>
      <c r="D55" s="383"/>
      <c r="E55" s="383"/>
      <c r="F55" s="384"/>
      <c r="G55" s="337"/>
      <c r="H55" s="336"/>
      <c r="I55" s="337"/>
      <c r="J55" s="337"/>
      <c r="K55" s="337"/>
      <c r="L55" s="337"/>
      <c r="M55" s="337"/>
      <c r="N55" s="337"/>
      <c r="O55" s="336"/>
      <c r="P55" s="337"/>
      <c r="Q55" s="337"/>
      <c r="R55" s="337"/>
      <c r="S55" s="337"/>
      <c r="T55" s="336"/>
      <c r="U55" s="337"/>
      <c r="V55" s="337"/>
      <c r="W55" s="337"/>
      <c r="X55" s="337"/>
      <c r="Y55" s="337"/>
      <c r="Z55" s="336"/>
      <c r="AA55" s="337"/>
      <c r="AB55" s="337"/>
      <c r="AC55" s="337"/>
      <c r="AD55" s="337"/>
      <c r="AE55" s="336"/>
      <c r="AF55" s="337"/>
      <c r="AG55" s="337"/>
      <c r="AH55" s="337"/>
      <c r="AI55" s="337"/>
      <c r="AJ55" s="336"/>
      <c r="AK55" s="337"/>
      <c r="AL55" s="337"/>
      <c r="AM55" s="337"/>
      <c r="AN55" s="337"/>
      <c r="AO55" s="336"/>
      <c r="AP55" s="337"/>
      <c r="AQ55" s="337"/>
      <c r="AR55" s="337"/>
      <c r="AS55" s="337"/>
      <c r="AT55" s="336"/>
      <c r="AU55" s="337"/>
      <c r="AV55" s="337"/>
      <c r="AW55" s="337"/>
      <c r="AX55" s="337"/>
      <c r="AY55" s="336"/>
      <c r="AZ55" s="337"/>
      <c r="BA55" s="337"/>
      <c r="BB55" s="337"/>
      <c r="BC55" s="337"/>
      <c r="BD55" s="336"/>
      <c r="BE55" s="337"/>
      <c r="BF55" s="337"/>
      <c r="BG55" s="337"/>
      <c r="BH55" s="337"/>
      <c r="BI55" s="336"/>
      <c r="BJ55" s="337"/>
      <c r="BK55" s="337"/>
      <c r="BL55" s="337"/>
      <c r="BM55" s="337"/>
      <c r="BN55" s="339"/>
      <c r="BO55" s="340"/>
      <c r="BP55" s="340"/>
      <c r="BQ55" s="340"/>
      <c r="BR55" s="340"/>
      <c r="BS55" s="339"/>
      <c r="BT55" s="337"/>
      <c r="BU55" s="337"/>
      <c r="BV55" s="337"/>
    </row>
    <row r="56" spans="1:74" ht="12.75">
      <c r="A56" s="335" t="s">
        <v>668</v>
      </c>
      <c r="B56" s="336" t="s">
        <v>491</v>
      </c>
      <c r="C56" s="337" t="s">
        <v>491</v>
      </c>
      <c r="D56" s="352" t="e">
        <f>#REF!</f>
        <v>#REF!</v>
      </c>
      <c r="E56" s="337"/>
      <c r="F56" s="359"/>
      <c r="G56" s="337"/>
      <c r="H56" s="336"/>
      <c r="I56" s="337"/>
      <c r="J56" s="337"/>
      <c r="K56" s="337"/>
      <c r="L56" s="337"/>
      <c r="M56" s="337"/>
      <c r="N56" s="337"/>
      <c r="O56" s="336"/>
      <c r="P56" s="337"/>
      <c r="Q56" s="337"/>
      <c r="R56" s="337"/>
      <c r="S56" s="337"/>
      <c r="T56" s="336"/>
      <c r="U56" s="337"/>
      <c r="V56" s="337"/>
      <c r="W56" s="337"/>
      <c r="X56" s="337"/>
      <c r="Y56" s="337"/>
      <c r="Z56" s="336"/>
      <c r="AA56" s="337"/>
      <c r="AB56" s="337"/>
      <c r="AC56" s="337"/>
      <c r="AD56" s="337"/>
      <c r="AE56" s="336"/>
      <c r="AF56" s="337"/>
      <c r="AG56" s="337"/>
      <c r="AH56" s="337"/>
      <c r="AI56" s="337"/>
      <c r="AJ56" s="336"/>
      <c r="AK56" s="337"/>
      <c r="AL56" s="337"/>
      <c r="AM56" s="337"/>
      <c r="AN56" s="337"/>
      <c r="AO56" s="336"/>
      <c r="AP56" s="337"/>
      <c r="AQ56" s="337"/>
      <c r="AR56" s="337"/>
      <c r="AS56" s="337"/>
      <c r="AT56" s="336"/>
      <c r="AU56" s="337"/>
      <c r="AV56" s="337"/>
      <c r="AW56" s="337"/>
      <c r="AX56" s="337"/>
      <c r="AY56" s="336"/>
      <c r="AZ56" s="337"/>
      <c r="BA56" s="337"/>
      <c r="BB56" s="337"/>
      <c r="BC56" s="337"/>
      <c r="BD56" s="336"/>
      <c r="BE56" s="337"/>
      <c r="BF56" s="337"/>
      <c r="BG56" s="337"/>
      <c r="BH56" s="337"/>
      <c r="BI56" s="336"/>
      <c r="BJ56" s="337"/>
      <c r="BK56" s="337"/>
      <c r="BL56" s="337"/>
      <c r="BM56" s="337"/>
      <c r="BN56" s="336"/>
      <c r="BO56" s="340"/>
      <c r="BP56" s="340"/>
      <c r="BQ56" s="340"/>
      <c r="BR56" s="340"/>
      <c r="BS56" s="336"/>
      <c r="BT56" s="337"/>
      <c r="BU56" s="337"/>
      <c r="BV56" s="337"/>
    </row>
    <row r="57" spans="1:74" ht="12.75">
      <c r="A57" s="335" t="s">
        <v>669</v>
      </c>
      <c r="B57" s="336">
        <v>5</v>
      </c>
      <c r="C57" s="337">
        <f>B57*8.5/100+B57</f>
        <v>5.425</v>
      </c>
      <c r="D57" s="338">
        <f>C57*2.1/100+C57</f>
        <v>5.538925</v>
      </c>
      <c r="E57" s="337">
        <f>D57*1.6/100+D57</f>
        <v>5.6275478</v>
      </c>
      <c r="F57" s="359"/>
      <c r="G57" s="337"/>
      <c r="H57" s="336"/>
      <c r="I57" s="337"/>
      <c r="J57" s="337"/>
      <c r="K57" s="337"/>
      <c r="L57" s="337"/>
      <c r="M57" s="337"/>
      <c r="N57" s="337"/>
      <c r="O57" s="336"/>
      <c r="P57" s="337"/>
      <c r="Q57" s="337"/>
      <c r="R57" s="337"/>
      <c r="S57" s="337"/>
      <c r="T57" s="336"/>
      <c r="U57" s="337"/>
      <c r="V57" s="337"/>
      <c r="W57" s="337"/>
      <c r="X57" s="337"/>
      <c r="Y57" s="337"/>
      <c r="Z57" s="336"/>
      <c r="AA57" s="337"/>
      <c r="AB57" s="337"/>
      <c r="AC57" s="337"/>
      <c r="AD57" s="337"/>
      <c r="AE57" s="336"/>
      <c r="AF57" s="337"/>
      <c r="AG57" s="337"/>
      <c r="AH57" s="337"/>
      <c r="AI57" s="337"/>
      <c r="AJ57" s="336"/>
      <c r="AK57" s="337"/>
      <c r="AL57" s="337"/>
      <c r="AM57" s="337"/>
      <c r="AN57" s="337"/>
      <c r="AO57" s="336"/>
      <c r="AP57" s="337"/>
      <c r="AQ57" s="337"/>
      <c r="AR57" s="337"/>
      <c r="AS57" s="337"/>
      <c r="AT57" s="336"/>
      <c r="AU57" s="337"/>
      <c r="AV57" s="337"/>
      <c r="AW57" s="337"/>
      <c r="AX57" s="337"/>
      <c r="AY57" s="336"/>
      <c r="AZ57" s="337"/>
      <c r="BA57" s="337"/>
      <c r="BB57" s="337"/>
      <c r="BC57" s="337"/>
      <c r="BD57" s="336"/>
      <c r="BE57" s="337"/>
      <c r="BF57" s="337"/>
      <c r="BG57" s="337"/>
      <c r="BH57" s="337"/>
      <c r="BI57" s="336"/>
      <c r="BJ57" s="337"/>
      <c r="BK57" s="337"/>
      <c r="BL57" s="337"/>
      <c r="BM57" s="337"/>
      <c r="BN57" s="339"/>
      <c r="BO57" s="340"/>
      <c r="BP57" s="340"/>
      <c r="BQ57" s="340"/>
      <c r="BR57" s="340"/>
      <c r="BS57" s="339"/>
      <c r="BT57" s="337"/>
      <c r="BU57" s="337"/>
      <c r="BV57" s="337"/>
    </row>
    <row r="58" spans="1:74" ht="12.75">
      <c r="A58" s="335" t="s">
        <v>670</v>
      </c>
      <c r="B58" s="336"/>
      <c r="C58" s="337"/>
      <c r="D58" s="338"/>
      <c r="E58" s="337"/>
      <c r="F58" s="359"/>
      <c r="G58" s="337"/>
      <c r="H58" s="336"/>
      <c r="I58" s="337"/>
      <c r="J58" s="337"/>
      <c r="K58" s="337"/>
      <c r="L58" s="337"/>
      <c r="M58" s="337"/>
      <c r="N58" s="337"/>
      <c r="O58" s="336"/>
      <c r="P58" s="337"/>
      <c r="Q58" s="337"/>
      <c r="R58" s="337"/>
      <c r="S58" s="337"/>
      <c r="T58" s="336"/>
      <c r="U58" s="337"/>
      <c r="V58" s="337"/>
      <c r="W58" s="337"/>
      <c r="X58" s="337"/>
      <c r="Y58" s="337"/>
      <c r="Z58" s="336"/>
      <c r="AA58" s="337"/>
      <c r="AB58" s="337"/>
      <c r="AC58" s="337"/>
      <c r="AD58" s="337"/>
      <c r="AE58" s="336"/>
      <c r="AF58" s="337"/>
      <c r="AG58" s="337"/>
      <c r="AH58" s="337"/>
      <c r="AI58" s="337"/>
      <c r="AJ58" s="336"/>
      <c r="AK58" s="337"/>
      <c r="AL58" s="337"/>
      <c r="AM58" s="337"/>
      <c r="AN58" s="337"/>
      <c r="AO58" s="336"/>
      <c r="AP58" s="337"/>
      <c r="AQ58" s="337"/>
      <c r="AR58" s="337"/>
      <c r="AS58" s="337"/>
      <c r="AT58" s="336"/>
      <c r="AU58" s="337"/>
      <c r="AV58" s="337"/>
      <c r="AW58" s="337"/>
      <c r="AX58" s="337"/>
      <c r="AY58" s="336"/>
      <c r="AZ58" s="337"/>
      <c r="BA58" s="337"/>
      <c r="BB58" s="337"/>
      <c r="BC58" s="337"/>
      <c r="BD58" s="336"/>
      <c r="BE58" s="337"/>
      <c r="BF58" s="337"/>
      <c r="BG58" s="337"/>
      <c r="BH58" s="337"/>
      <c r="BI58" s="336"/>
      <c r="BJ58" s="337"/>
      <c r="BK58" s="337"/>
      <c r="BL58" s="337"/>
      <c r="BM58" s="337"/>
      <c r="BN58" s="339"/>
      <c r="BO58" s="340"/>
      <c r="BP58" s="340"/>
      <c r="BQ58" s="340"/>
      <c r="BR58" s="340"/>
      <c r="BS58" s="339"/>
      <c r="BT58" s="337"/>
      <c r="BU58" s="337"/>
      <c r="BV58" s="337"/>
    </row>
    <row r="59" spans="67:70" ht="12.75">
      <c r="BO59" s="331"/>
      <c r="BP59" s="331"/>
      <c r="BQ59" s="331"/>
      <c r="BR59" s="331"/>
    </row>
  </sheetData>
  <sheetProtection/>
  <mergeCells count="3">
    <mergeCell ref="A1:BV1"/>
    <mergeCell ref="A2:BV2"/>
    <mergeCell ref="A55:F55"/>
  </mergeCells>
  <printOptions gridLines="1" horizontalCentered="1" verticalCentered="1"/>
  <pageMargins left="0.3937007874015748" right="0.35433070866141736" top="0.2755905511811024" bottom="0.4330708661417323" header="0.11811023622047245" footer="0.2755905511811024"/>
  <pageSetup horizontalDpi="300" verticalDpi="300" orientation="landscape" paperSize="8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zoomScalePageLayoutView="0" workbookViewId="0" topLeftCell="A1">
      <selection activeCell="E7" sqref="E7"/>
    </sheetView>
  </sheetViews>
  <sheetFormatPr defaultColWidth="9.140625" defaultRowHeight="12.75"/>
  <cols>
    <col min="1" max="1" width="8.00390625" style="111" customWidth="1"/>
    <col min="2" max="2" width="7.00390625" style="111" customWidth="1"/>
    <col min="3" max="3" width="15.7109375" style="111" customWidth="1"/>
    <col min="4" max="4" width="18.8515625" style="111" customWidth="1"/>
    <col min="5" max="6" width="7.7109375" style="112" customWidth="1"/>
    <col min="7" max="7" width="10.7109375" style="111" bestFit="1" customWidth="1"/>
    <col min="8" max="16384" width="9.140625" style="111" customWidth="1"/>
  </cols>
  <sheetData>
    <row r="1" spans="9:10" ht="15">
      <c r="I1" s="389" t="s">
        <v>11</v>
      </c>
      <c r="J1" s="390"/>
    </row>
    <row r="3" spans="1:6" s="113" customFormat="1" ht="14.25">
      <c r="A3" s="113" t="s">
        <v>9</v>
      </c>
      <c r="E3" s="114"/>
      <c r="F3" s="114"/>
    </row>
    <row r="4" spans="1:6" s="113" customFormat="1" ht="14.25">
      <c r="A4" s="113" t="s">
        <v>10</v>
      </c>
      <c r="E4" s="114"/>
      <c r="F4" s="114"/>
    </row>
    <row r="6" spans="1:6" s="117" customFormat="1" ht="19.5" customHeight="1">
      <c r="A6" s="115" t="s">
        <v>0</v>
      </c>
      <c r="B6" s="115" t="s">
        <v>1</v>
      </c>
      <c r="C6" s="115" t="s">
        <v>2</v>
      </c>
      <c r="D6" s="115" t="s">
        <v>8</v>
      </c>
      <c r="E6" s="116" t="s">
        <v>3</v>
      </c>
      <c r="F6" s="116" t="s">
        <v>4</v>
      </c>
    </row>
    <row r="7" spans="1:6" ht="15">
      <c r="A7" s="129"/>
      <c r="B7" s="129"/>
      <c r="C7" s="129"/>
      <c r="D7" s="129"/>
      <c r="E7" s="130"/>
      <c r="F7" s="130"/>
    </row>
    <row r="8" spans="1:6" ht="15">
      <c r="A8" s="129"/>
      <c r="B8" s="129"/>
      <c r="C8" s="129"/>
      <c r="D8" s="129"/>
      <c r="E8" s="130"/>
      <c r="F8" s="130"/>
    </row>
    <row r="9" spans="1:6" ht="15">
      <c r="A9" s="129"/>
      <c r="B9" s="129"/>
      <c r="C9" s="129"/>
      <c r="D9" s="129"/>
      <c r="E9" s="130"/>
      <c r="F9" s="130"/>
    </row>
    <row r="10" spans="1:6" ht="15">
      <c r="A10" s="129"/>
      <c r="B10" s="129"/>
      <c r="C10" s="129"/>
      <c r="D10" s="129"/>
      <c r="E10" s="130"/>
      <c r="F10" s="130"/>
    </row>
    <row r="11" spans="1:11" ht="15">
      <c r="A11" s="129"/>
      <c r="B11" s="129"/>
      <c r="C11" s="129"/>
      <c r="D11" s="129"/>
      <c r="E11" s="130"/>
      <c r="F11" s="130"/>
      <c r="G11" s="386" t="s">
        <v>12</v>
      </c>
      <c r="H11" s="387"/>
      <c r="I11" s="387"/>
      <c r="J11" s="387"/>
      <c r="K11" s="387"/>
    </row>
    <row r="12" spans="1:11" ht="15">
      <c r="A12" s="129"/>
      <c r="B12" s="129"/>
      <c r="C12" s="129"/>
      <c r="D12" s="129"/>
      <c r="E12" s="130"/>
      <c r="F12" s="130"/>
      <c r="G12" s="386" t="s">
        <v>13</v>
      </c>
      <c r="H12" s="387"/>
      <c r="I12" s="387"/>
      <c r="J12" s="387"/>
      <c r="K12" s="387"/>
    </row>
    <row r="13" spans="1:11" ht="15">
      <c r="A13" s="129"/>
      <c r="B13" s="129"/>
      <c r="C13" s="129"/>
      <c r="D13" s="129"/>
      <c r="E13" s="130"/>
      <c r="F13" s="130"/>
      <c r="G13" s="386" t="s">
        <v>14</v>
      </c>
      <c r="H13" s="387"/>
      <c r="I13" s="387"/>
      <c r="J13" s="387"/>
      <c r="K13" s="387"/>
    </row>
    <row r="14" spans="1:11" ht="15">
      <c r="A14" s="129"/>
      <c r="B14" s="129"/>
      <c r="C14" s="129"/>
      <c r="D14" s="129"/>
      <c r="E14" s="130"/>
      <c r="F14" s="130"/>
      <c r="G14" s="386" t="s">
        <v>15</v>
      </c>
      <c r="H14" s="387"/>
      <c r="I14" s="387"/>
      <c r="J14" s="387"/>
      <c r="K14" s="387"/>
    </row>
    <row r="15" spans="1:11" ht="15">
      <c r="A15" s="129"/>
      <c r="B15" s="129"/>
      <c r="C15" s="129"/>
      <c r="D15" s="129"/>
      <c r="E15" s="130"/>
      <c r="F15" s="130"/>
      <c r="G15" s="386" t="s">
        <v>16</v>
      </c>
      <c r="H15" s="387"/>
      <c r="I15" s="387"/>
      <c r="J15" s="387"/>
      <c r="K15" s="387"/>
    </row>
    <row r="16" spans="1:6" ht="15">
      <c r="A16" s="129"/>
      <c r="B16" s="129"/>
      <c r="C16" s="129"/>
      <c r="D16" s="129"/>
      <c r="E16" s="130"/>
      <c r="F16" s="130"/>
    </row>
    <row r="17" spans="1:11" ht="15">
      <c r="A17" s="129"/>
      <c r="B17" s="129"/>
      <c r="C17" s="129"/>
      <c r="D17" s="129"/>
      <c r="E17" s="130"/>
      <c r="F17" s="130"/>
      <c r="G17" s="118"/>
      <c r="H17" s="119"/>
      <c r="I17" s="119"/>
      <c r="J17" s="119"/>
      <c r="K17" s="119"/>
    </row>
    <row r="18" spans="1:11" ht="15">
      <c r="A18" s="129"/>
      <c r="B18" s="129"/>
      <c r="C18" s="129"/>
      <c r="D18" s="129"/>
      <c r="E18" s="130"/>
      <c r="F18" s="130"/>
      <c r="G18" s="391" t="s">
        <v>17</v>
      </c>
      <c r="H18" s="385"/>
      <c r="I18" s="385"/>
      <c r="J18" s="385"/>
      <c r="K18" s="385"/>
    </row>
    <row r="19" spans="1:11" ht="15">
      <c r="A19" s="129"/>
      <c r="B19" s="129"/>
      <c r="C19" s="129"/>
      <c r="D19" s="129"/>
      <c r="E19" s="130"/>
      <c r="F19" s="130"/>
      <c r="G19" s="120"/>
      <c r="H19" s="120"/>
      <c r="I19" s="120"/>
      <c r="J19" s="120"/>
      <c r="K19" s="120"/>
    </row>
    <row r="20" spans="1:11" ht="15">
      <c r="A20" s="129"/>
      <c r="B20" s="129"/>
      <c r="C20" s="129"/>
      <c r="D20" s="129"/>
      <c r="E20" s="130"/>
      <c r="F20" s="130"/>
      <c r="G20" s="120"/>
      <c r="H20" s="120"/>
      <c r="I20" s="120"/>
      <c r="J20" s="120"/>
      <c r="K20" s="120"/>
    </row>
    <row r="21" spans="1:11" ht="15">
      <c r="A21" s="129"/>
      <c r="B21" s="129"/>
      <c r="C21" s="129"/>
      <c r="D21" s="129"/>
      <c r="E21" s="130"/>
      <c r="F21" s="130"/>
      <c r="G21" s="120"/>
      <c r="H21" s="120"/>
      <c r="I21" s="120"/>
      <c r="J21" s="120"/>
      <c r="K21" s="120"/>
    </row>
    <row r="22" spans="1:11" ht="15">
      <c r="A22" s="129"/>
      <c r="B22" s="129"/>
      <c r="C22" s="129"/>
      <c r="D22" s="129"/>
      <c r="E22" s="130"/>
      <c r="F22" s="130"/>
      <c r="G22" s="120"/>
      <c r="H22" s="120"/>
      <c r="I22" s="120"/>
      <c r="J22" s="120"/>
      <c r="K22" s="120"/>
    </row>
    <row r="23" spans="1:11" ht="15">
      <c r="A23" s="129"/>
      <c r="B23" s="129"/>
      <c r="C23" s="129"/>
      <c r="D23" s="129"/>
      <c r="E23" s="130"/>
      <c r="F23" s="130"/>
      <c r="G23" s="120"/>
      <c r="H23" s="120"/>
      <c r="I23" s="120"/>
      <c r="J23" s="120"/>
      <c r="K23" s="120"/>
    </row>
    <row r="24" spans="1:11" ht="15">
      <c r="A24" s="129"/>
      <c r="B24" s="129"/>
      <c r="C24" s="129"/>
      <c r="D24" s="129"/>
      <c r="E24" s="130"/>
      <c r="F24" s="130"/>
      <c r="G24" s="120"/>
      <c r="H24" s="120"/>
      <c r="I24" s="120"/>
      <c r="J24" s="120"/>
      <c r="K24" s="120"/>
    </row>
    <row r="25" spans="1:11" ht="15">
      <c r="A25" s="129"/>
      <c r="B25" s="129"/>
      <c r="C25" s="129"/>
      <c r="D25" s="129"/>
      <c r="E25" s="130"/>
      <c r="F25" s="130"/>
      <c r="G25" s="121" t="s">
        <v>18</v>
      </c>
      <c r="H25" s="392"/>
      <c r="I25" s="392"/>
      <c r="J25" s="392"/>
      <c r="K25" s="392"/>
    </row>
    <row r="26" spans="1:11" ht="15">
      <c r="A26" s="129"/>
      <c r="B26" s="129"/>
      <c r="C26" s="129"/>
      <c r="D26" s="129"/>
      <c r="E26" s="130"/>
      <c r="F26" s="130"/>
      <c r="G26" s="123"/>
      <c r="H26" s="122"/>
      <c r="I26" s="122"/>
      <c r="J26" s="122"/>
      <c r="K26" s="122"/>
    </row>
    <row r="27" spans="1:11" ht="15">
      <c r="A27" s="129"/>
      <c r="B27" s="129"/>
      <c r="C27" s="129"/>
      <c r="D27" s="129"/>
      <c r="E27" s="130"/>
      <c r="F27" s="130"/>
      <c r="G27" s="118"/>
      <c r="H27" s="119"/>
      <c r="I27" s="119"/>
      <c r="J27" s="119"/>
      <c r="K27" s="119"/>
    </row>
    <row r="28" spans="1:11" ht="15">
      <c r="A28" s="129"/>
      <c r="B28" s="129"/>
      <c r="C28" s="129"/>
      <c r="D28" s="129"/>
      <c r="E28" s="130"/>
      <c r="F28" s="130"/>
      <c r="G28" s="121" t="s">
        <v>19</v>
      </c>
      <c r="H28" s="122"/>
      <c r="I28" s="122"/>
      <c r="J28" s="122"/>
      <c r="K28" s="122"/>
    </row>
    <row r="29" spans="1:11" ht="15">
      <c r="A29" s="129"/>
      <c r="B29" s="129"/>
      <c r="C29" s="129"/>
      <c r="D29" s="129"/>
      <c r="E29" s="130"/>
      <c r="F29" s="130"/>
      <c r="G29" s="123"/>
      <c r="H29" s="122"/>
      <c r="I29" s="122"/>
      <c r="J29" s="122"/>
      <c r="K29" s="122"/>
    </row>
    <row r="30" spans="1:11" ht="15">
      <c r="A30" s="129"/>
      <c r="B30" s="129"/>
      <c r="C30" s="129"/>
      <c r="D30" s="129"/>
      <c r="E30" s="130"/>
      <c r="F30" s="130"/>
      <c r="G30" s="118"/>
      <c r="H30" s="119"/>
      <c r="I30" s="119"/>
      <c r="J30" s="119"/>
      <c r="K30" s="119"/>
    </row>
    <row r="31" spans="1:11" ht="15">
      <c r="A31" s="129"/>
      <c r="B31" s="129"/>
      <c r="C31" s="129"/>
      <c r="D31" s="129"/>
      <c r="E31" s="130"/>
      <c r="F31" s="130"/>
      <c r="G31" s="121" t="s">
        <v>20</v>
      </c>
      <c r="H31" s="122"/>
      <c r="I31" s="122"/>
      <c r="J31" s="122"/>
      <c r="K31" s="122"/>
    </row>
    <row r="32" spans="1:11" ht="15">
      <c r="A32" s="129"/>
      <c r="B32" s="129"/>
      <c r="C32" s="129"/>
      <c r="D32" s="129"/>
      <c r="E32" s="130"/>
      <c r="F32" s="130"/>
      <c r="G32" s="123"/>
      <c r="H32" s="122"/>
      <c r="I32" s="122"/>
      <c r="J32" s="122"/>
      <c r="K32" s="122"/>
    </row>
    <row r="33" spans="1:11" ht="15">
      <c r="A33" s="129"/>
      <c r="B33" s="129"/>
      <c r="C33" s="129"/>
      <c r="D33" s="129"/>
      <c r="E33" s="130"/>
      <c r="F33" s="130"/>
      <c r="G33" s="118"/>
      <c r="H33" s="119"/>
      <c r="I33" s="119"/>
      <c r="J33" s="119"/>
      <c r="K33" s="119"/>
    </row>
    <row r="34" spans="1:11" ht="15">
      <c r="A34" s="129"/>
      <c r="B34" s="129"/>
      <c r="C34" s="129"/>
      <c r="D34" s="129"/>
      <c r="E34" s="130"/>
      <c r="F34" s="130"/>
      <c r="G34" s="124"/>
      <c r="H34" s="124"/>
      <c r="I34" s="124"/>
      <c r="J34" s="124"/>
      <c r="K34" s="124"/>
    </row>
    <row r="35" spans="1:6" ht="15">
      <c r="A35" s="129"/>
      <c r="B35" s="129"/>
      <c r="C35" s="129"/>
      <c r="D35" s="129"/>
      <c r="E35" s="130"/>
      <c r="F35" s="130"/>
    </row>
    <row r="36" spans="1:6" ht="15">
      <c r="A36" s="129"/>
      <c r="B36" s="129"/>
      <c r="C36" s="129"/>
      <c r="D36" s="129"/>
      <c r="E36" s="130"/>
      <c r="F36" s="130"/>
    </row>
    <row r="37" spans="1:7" ht="15">
      <c r="A37" s="129"/>
      <c r="B37" s="129"/>
      <c r="C37" s="129"/>
      <c r="D37" s="129"/>
      <c r="E37" s="130"/>
      <c r="F37" s="130"/>
      <c r="G37" s="125" t="s">
        <v>38</v>
      </c>
    </row>
    <row r="38" spans="1:11" ht="15">
      <c r="A38" s="129"/>
      <c r="B38" s="129"/>
      <c r="C38" s="129"/>
      <c r="D38" s="129"/>
      <c r="E38" s="130"/>
      <c r="F38" s="130"/>
      <c r="G38" s="65" t="s">
        <v>21</v>
      </c>
      <c r="H38" s="124"/>
      <c r="I38" s="124"/>
      <c r="J38" s="124"/>
      <c r="K38" s="124"/>
    </row>
    <row r="39" spans="1:11" ht="15">
      <c r="A39" s="129"/>
      <c r="B39" s="129"/>
      <c r="C39" s="129"/>
      <c r="D39" s="129"/>
      <c r="E39" s="130"/>
      <c r="F39" s="130"/>
      <c r="G39" s="65" t="s">
        <v>22</v>
      </c>
      <c r="H39" s="124"/>
      <c r="I39" s="124"/>
      <c r="J39" s="124"/>
      <c r="K39" s="124"/>
    </row>
    <row r="40" spans="1:11" ht="15">
      <c r="A40" s="129"/>
      <c r="B40" s="129"/>
      <c r="C40" s="129"/>
      <c r="D40" s="129"/>
      <c r="E40" s="130"/>
      <c r="F40" s="130"/>
      <c r="G40" s="65" t="s">
        <v>23</v>
      </c>
      <c r="H40" s="124"/>
      <c r="I40" s="124"/>
      <c r="J40" s="124"/>
      <c r="K40" s="124"/>
    </row>
    <row r="41" spans="1:11" ht="15">
      <c r="A41" s="129"/>
      <c r="B41" s="129"/>
      <c r="C41" s="129"/>
      <c r="D41" s="129"/>
      <c r="E41" s="130"/>
      <c r="F41" s="130"/>
      <c r="G41" s="65" t="s">
        <v>24</v>
      </c>
      <c r="H41" s="124"/>
      <c r="I41" s="124"/>
      <c r="J41" s="124"/>
      <c r="K41" s="124"/>
    </row>
    <row r="42" spans="1:11" ht="15">
      <c r="A42" s="129"/>
      <c r="B42" s="129"/>
      <c r="C42" s="129"/>
      <c r="D42" s="129"/>
      <c r="E42" s="130"/>
      <c r="F42" s="130"/>
      <c r="G42" s="65" t="s">
        <v>25</v>
      </c>
      <c r="H42" s="124"/>
      <c r="I42" s="124"/>
      <c r="J42" s="124"/>
      <c r="K42" s="124"/>
    </row>
    <row r="43" spans="1:7" ht="15">
      <c r="A43" s="129"/>
      <c r="B43" s="129"/>
      <c r="C43" s="129"/>
      <c r="D43" s="129"/>
      <c r="E43" s="130"/>
      <c r="F43" s="130"/>
      <c r="G43" s="65" t="s">
        <v>26</v>
      </c>
    </row>
    <row r="44" spans="1:7" ht="15">
      <c r="A44" s="129"/>
      <c r="B44" s="129"/>
      <c r="C44" s="129"/>
      <c r="D44" s="129"/>
      <c r="E44" s="130"/>
      <c r="F44" s="130"/>
      <c r="G44" s="65" t="s">
        <v>27</v>
      </c>
    </row>
    <row r="45" spans="1:7" ht="15">
      <c r="A45" s="129"/>
      <c r="B45" s="129"/>
      <c r="C45" s="129"/>
      <c r="D45" s="129"/>
      <c r="E45" s="130"/>
      <c r="F45" s="130"/>
      <c r="G45" s="65" t="s">
        <v>28</v>
      </c>
    </row>
    <row r="46" spans="1:7" ht="15">
      <c r="A46" s="129"/>
      <c r="B46" s="129"/>
      <c r="C46" s="129"/>
      <c r="D46" s="129"/>
      <c r="E46" s="130"/>
      <c r="F46" s="130"/>
      <c r="G46" s="65" t="s">
        <v>29</v>
      </c>
    </row>
    <row r="47" spans="1:7" ht="15">
      <c r="A47" s="129"/>
      <c r="B47" s="129"/>
      <c r="C47" s="129"/>
      <c r="D47" s="129"/>
      <c r="E47" s="130"/>
      <c r="F47" s="130"/>
      <c r="G47" s="65" t="s">
        <v>30</v>
      </c>
    </row>
    <row r="48" spans="1:7" ht="15">
      <c r="A48" s="129"/>
      <c r="B48" s="129"/>
      <c r="C48" s="129"/>
      <c r="D48" s="129"/>
      <c r="E48" s="130"/>
      <c r="F48" s="130"/>
      <c r="G48" s="65" t="s">
        <v>31</v>
      </c>
    </row>
    <row r="49" spans="1:7" ht="15">
      <c r="A49" s="129"/>
      <c r="B49" s="129"/>
      <c r="C49" s="129"/>
      <c r="D49" s="129"/>
      <c r="E49" s="130"/>
      <c r="F49" s="130"/>
      <c r="G49" s="65" t="s">
        <v>32</v>
      </c>
    </row>
    <row r="50" spans="1:7" ht="15">
      <c r="A50" s="129"/>
      <c r="B50" s="129"/>
      <c r="C50" s="129"/>
      <c r="D50" s="129"/>
      <c r="E50" s="130"/>
      <c r="F50" s="130"/>
      <c r="G50" s="65" t="s">
        <v>33</v>
      </c>
    </row>
    <row r="51" spans="1:7" ht="15">
      <c r="A51" s="129"/>
      <c r="B51" s="129"/>
      <c r="C51" s="129"/>
      <c r="D51" s="129"/>
      <c r="E51" s="130"/>
      <c r="F51" s="130"/>
      <c r="G51" s="65" t="s">
        <v>34</v>
      </c>
    </row>
    <row r="52" spans="1:7" ht="15">
      <c r="A52" s="129"/>
      <c r="B52" s="129"/>
      <c r="C52" s="129"/>
      <c r="D52" s="129"/>
      <c r="E52" s="130"/>
      <c r="F52" s="130"/>
      <c r="G52" s="65" t="s">
        <v>35</v>
      </c>
    </row>
    <row r="53" spans="1:7" ht="15">
      <c r="A53" s="129"/>
      <c r="B53" s="129"/>
      <c r="C53" s="129"/>
      <c r="D53" s="129"/>
      <c r="E53" s="130"/>
      <c r="F53" s="130"/>
      <c r="G53" s="65" t="s">
        <v>36</v>
      </c>
    </row>
    <row r="55" spans="4:6" ht="15">
      <c r="D55" s="111" t="s">
        <v>7</v>
      </c>
      <c r="E55" s="127">
        <f>SUM(E7:E53)</f>
        <v>0</v>
      </c>
      <c r="F55" s="127">
        <f>SUM(F7:F53)</f>
        <v>0</v>
      </c>
    </row>
    <row r="56" spans="4:6" ht="15">
      <c r="D56" s="111" t="s">
        <v>5</v>
      </c>
      <c r="E56" s="127">
        <f>F55*60/100</f>
        <v>0</v>
      </c>
      <c r="F56" s="128"/>
    </row>
    <row r="57" spans="4:6" ht="15">
      <c r="D57" s="111" t="s">
        <v>6</v>
      </c>
      <c r="E57" s="127">
        <f>E56+E55</f>
        <v>0</v>
      </c>
      <c r="F57" s="128"/>
    </row>
    <row r="58" spans="1:11" ht="15">
      <c r="A58" s="111" t="s">
        <v>200</v>
      </c>
      <c r="B58" s="388"/>
      <c r="C58" s="388"/>
      <c r="G58" s="119"/>
      <c r="H58" s="119"/>
      <c r="I58" s="119"/>
      <c r="J58" s="119"/>
      <c r="K58" s="119"/>
    </row>
    <row r="59" spans="4:11" ht="15">
      <c r="D59" s="124"/>
      <c r="E59" s="126"/>
      <c r="F59" s="126"/>
      <c r="G59" s="385" t="s">
        <v>37</v>
      </c>
      <c r="H59" s="385"/>
      <c r="I59" s="385"/>
      <c r="J59" s="385"/>
      <c r="K59" s="385"/>
    </row>
    <row r="61" ht="15">
      <c r="A61" s="104"/>
    </row>
  </sheetData>
  <sheetProtection sheet="1" objects="1" scenarios="1"/>
  <mergeCells count="10">
    <mergeCell ref="G59:K59"/>
    <mergeCell ref="G13:K13"/>
    <mergeCell ref="B58:C58"/>
    <mergeCell ref="I1:J1"/>
    <mergeCell ref="G11:K11"/>
    <mergeCell ref="G12:K12"/>
    <mergeCell ref="G14:K14"/>
    <mergeCell ref="G15:K15"/>
    <mergeCell ref="G18:K18"/>
    <mergeCell ref="H25:K25"/>
  </mergeCells>
  <printOptions horizontalCentered="1" verticalCentered="1"/>
  <pageMargins left="0.3937007874015748" right="0.3937007874015748" top="0.48" bottom="0.3937007874015748" header="0.24" footer="0.5118110236220472"/>
  <pageSetup fitToHeight="1" fitToWidth="1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3.57421875" style="0" customWidth="1"/>
  </cols>
  <sheetData>
    <row r="1" spans="1:10" ht="12.75">
      <c r="A1" s="5"/>
      <c r="B1" s="6"/>
      <c r="C1" s="6"/>
      <c r="D1" s="6"/>
      <c r="E1" s="6"/>
      <c r="F1" s="6"/>
      <c r="G1" s="6"/>
      <c r="H1" s="6"/>
      <c r="I1" s="393" t="s">
        <v>39</v>
      </c>
      <c r="J1" s="394"/>
    </row>
    <row r="2" spans="1:10" ht="12.75">
      <c r="A2" s="7"/>
      <c r="B2" s="8"/>
      <c r="C2" s="8"/>
      <c r="D2" s="8"/>
      <c r="E2" s="8"/>
      <c r="F2" s="8"/>
      <c r="G2" s="8"/>
      <c r="H2" s="8"/>
      <c r="I2" s="9" t="s">
        <v>40</v>
      </c>
      <c r="J2" s="9" t="s">
        <v>41</v>
      </c>
    </row>
    <row r="3" spans="1:10" ht="12.75">
      <c r="A3" s="7"/>
      <c r="B3" s="8" t="s">
        <v>675</v>
      </c>
      <c r="C3" s="8"/>
      <c r="D3" s="8"/>
      <c r="E3" s="8"/>
      <c r="F3" s="8"/>
      <c r="G3" s="8"/>
      <c r="H3" s="8"/>
      <c r="I3" s="8"/>
      <c r="J3" s="10"/>
    </row>
    <row r="4" spans="1:10" ht="12.75">
      <c r="A4" s="7"/>
      <c r="B4" s="8" t="s">
        <v>674</v>
      </c>
      <c r="C4" s="8"/>
      <c r="D4" s="8"/>
      <c r="E4" s="8"/>
      <c r="F4" s="8" t="s">
        <v>42</v>
      </c>
      <c r="G4" s="131"/>
      <c r="H4" s="8"/>
      <c r="I4" s="8"/>
      <c r="J4" s="10"/>
    </row>
    <row r="5" spans="1:10" ht="12.75">
      <c r="A5" s="7"/>
      <c r="B5" s="8"/>
      <c r="C5" s="8"/>
      <c r="D5" s="8"/>
      <c r="E5" s="8"/>
      <c r="F5" s="8" t="s">
        <v>43</v>
      </c>
      <c r="G5" s="299"/>
      <c r="H5" s="8" t="s">
        <v>44</v>
      </c>
      <c r="I5" s="8">
        <v>-100</v>
      </c>
      <c r="J5" s="10"/>
    </row>
    <row r="6" spans="1:10" ht="12.75">
      <c r="A6" s="7"/>
      <c r="B6" s="8"/>
      <c r="C6" s="8"/>
      <c r="D6" s="8"/>
      <c r="E6" s="8"/>
      <c r="F6" s="8"/>
      <c r="G6" s="8"/>
      <c r="H6" s="8"/>
      <c r="I6" s="8"/>
      <c r="J6" s="10"/>
    </row>
    <row r="7" spans="1:10" ht="12.75">
      <c r="A7" s="7"/>
      <c r="B7" s="8" t="s">
        <v>676</v>
      </c>
      <c r="C7" s="8"/>
      <c r="D7" s="8"/>
      <c r="E7" s="8"/>
      <c r="F7" s="8" t="s">
        <v>42</v>
      </c>
      <c r="G7" s="131"/>
      <c r="H7" s="8"/>
      <c r="I7" s="8"/>
      <c r="J7" s="10"/>
    </row>
    <row r="8" spans="1:10" ht="12.75">
      <c r="A8" s="7"/>
      <c r="B8" s="8"/>
      <c r="C8" s="8"/>
      <c r="D8" s="8"/>
      <c r="E8" s="8"/>
      <c r="F8" s="8" t="s">
        <v>43</v>
      </c>
      <c r="G8" s="299"/>
      <c r="H8" s="8" t="s">
        <v>45</v>
      </c>
      <c r="I8" s="8"/>
      <c r="J8" s="10">
        <v>-100</v>
      </c>
    </row>
    <row r="9" spans="1:10" ht="12.75">
      <c r="A9" s="7"/>
      <c r="B9" s="8"/>
      <c r="C9" s="8"/>
      <c r="D9" s="8"/>
      <c r="E9" s="8"/>
      <c r="F9" s="8"/>
      <c r="G9" s="8"/>
      <c r="H9" s="8"/>
      <c r="I9" s="8"/>
      <c r="J9" s="10"/>
    </row>
    <row r="10" spans="1:10" ht="12.75">
      <c r="A10" s="11"/>
      <c r="B10" s="12"/>
      <c r="C10" s="12"/>
      <c r="D10" s="12"/>
      <c r="E10" s="12"/>
      <c r="F10" s="12" t="s">
        <v>46</v>
      </c>
      <c r="G10" s="12"/>
      <c r="H10" s="12"/>
      <c r="I10" s="132">
        <f>IF(G5=100,100,0)</f>
        <v>0</v>
      </c>
      <c r="J10" s="132">
        <f>IF(G8=100,100,0)</f>
        <v>0</v>
      </c>
    </row>
    <row r="12" ht="12.75">
      <c r="B12" s="104"/>
    </row>
    <row r="14" ht="12.75">
      <c r="B14" s="104"/>
    </row>
  </sheetData>
  <sheetProtection/>
  <mergeCells count="1"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13">
      <selection activeCell="B13" sqref="B13"/>
    </sheetView>
  </sheetViews>
  <sheetFormatPr defaultColWidth="9.140625" defaultRowHeight="12.75"/>
  <cols>
    <col min="1" max="1" width="1.7109375" style="65" customWidth="1"/>
    <col min="2" max="8" width="9.140625" style="65" customWidth="1"/>
    <col min="9" max="9" width="2.7109375" style="75" customWidth="1"/>
    <col min="10" max="10" width="9.140625" style="65" customWidth="1"/>
    <col min="11" max="13" width="6.28125" style="65" customWidth="1"/>
    <col min="14" max="16384" width="9.140625" style="65" customWidth="1"/>
  </cols>
  <sheetData>
    <row r="1" spans="1:13" ht="12">
      <c r="A1" s="62"/>
      <c r="B1" s="63"/>
      <c r="C1" s="63"/>
      <c r="D1" s="63"/>
      <c r="E1" s="63"/>
      <c r="F1" s="63"/>
      <c r="G1" s="63"/>
      <c r="H1" s="63"/>
      <c r="I1" s="64"/>
      <c r="J1" s="63"/>
      <c r="K1" s="395" t="s">
        <v>39</v>
      </c>
      <c r="L1" s="396"/>
      <c r="M1" s="103"/>
    </row>
    <row r="2" spans="1:13" ht="12">
      <c r="A2" s="66"/>
      <c r="B2" s="67" t="s">
        <v>47</v>
      </c>
      <c r="C2" s="67"/>
      <c r="D2" s="67"/>
      <c r="E2" s="67"/>
      <c r="F2" s="67"/>
      <c r="G2" s="67"/>
      <c r="H2" s="67"/>
      <c r="I2" s="61"/>
      <c r="J2" s="68"/>
      <c r="K2" s="69" t="s">
        <v>40</v>
      </c>
      <c r="L2" s="69" t="s">
        <v>41</v>
      </c>
      <c r="M2" s="103"/>
    </row>
    <row r="3" spans="1:13" ht="12">
      <c r="A3" s="66"/>
      <c r="B3" s="68"/>
      <c r="C3" s="68"/>
      <c r="D3" s="68"/>
      <c r="E3" s="68"/>
      <c r="F3" s="68"/>
      <c r="G3" s="68"/>
      <c r="H3" s="68"/>
      <c r="I3" s="61"/>
      <c r="J3" s="68"/>
      <c r="K3" s="68"/>
      <c r="L3" s="70"/>
      <c r="M3" s="68"/>
    </row>
    <row r="4" spans="1:13" ht="12">
      <c r="A4" s="66" t="s">
        <v>48</v>
      </c>
      <c r="B4" s="68" t="s">
        <v>49</v>
      </c>
      <c r="C4" s="68"/>
      <c r="D4" s="68"/>
      <c r="E4" s="68"/>
      <c r="F4" s="68"/>
      <c r="G4" s="68"/>
      <c r="H4" s="68"/>
      <c r="I4" s="61"/>
      <c r="J4" s="68"/>
      <c r="K4" s="68"/>
      <c r="L4" s="70"/>
      <c r="M4" s="68"/>
    </row>
    <row r="5" spans="1:13" ht="12">
      <c r="A5" s="66"/>
      <c r="B5" s="68" t="s">
        <v>588</v>
      </c>
      <c r="C5" s="68"/>
      <c r="D5" s="68"/>
      <c r="E5" s="68"/>
      <c r="F5" s="68"/>
      <c r="G5" s="68"/>
      <c r="H5" s="68" t="s">
        <v>42</v>
      </c>
      <c r="I5" s="61"/>
      <c r="J5" s="68"/>
      <c r="K5" s="68"/>
      <c r="L5" s="70"/>
      <c r="M5" s="68"/>
    </row>
    <row r="6" spans="1:13" ht="12">
      <c r="A6" s="66"/>
      <c r="B6" s="68"/>
      <c r="C6" s="68"/>
      <c r="D6" s="68"/>
      <c r="E6" s="68"/>
      <c r="F6" s="68"/>
      <c r="G6" s="68"/>
      <c r="H6" s="68" t="s">
        <v>43</v>
      </c>
      <c r="I6" s="61"/>
      <c r="J6" s="68"/>
      <c r="K6" s="68"/>
      <c r="L6" s="70"/>
      <c r="M6" s="68"/>
    </row>
    <row r="7" spans="1:13" ht="12">
      <c r="A7" s="66"/>
      <c r="B7" s="68"/>
      <c r="C7" s="68"/>
      <c r="D7" s="68"/>
      <c r="E7" s="68"/>
      <c r="F7" s="68"/>
      <c r="G7" s="68"/>
      <c r="H7" s="68" t="s">
        <v>50</v>
      </c>
      <c r="I7" s="61"/>
      <c r="J7" s="68"/>
      <c r="K7" s="68"/>
      <c r="L7" s="70"/>
      <c r="M7" s="68"/>
    </row>
    <row r="8" spans="1:14" ht="12">
      <c r="A8" s="66"/>
      <c r="B8" s="68"/>
      <c r="C8" s="68"/>
      <c r="D8" s="68"/>
      <c r="E8" s="68" t="s">
        <v>51</v>
      </c>
      <c r="F8" s="68"/>
      <c r="G8" s="68"/>
      <c r="H8" s="68"/>
      <c r="I8" s="300"/>
      <c r="J8" s="68" t="s">
        <v>52</v>
      </c>
      <c r="K8" s="68">
        <v>-10</v>
      </c>
      <c r="L8" s="70"/>
      <c r="M8" s="71"/>
      <c r="N8" s="68"/>
    </row>
    <row r="9" spans="1:14" ht="12">
      <c r="A9" s="66"/>
      <c r="B9" s="68"/>
      <c r="C9" s="68"/>
      <c r="D9" s="68"/>
      <c r="E9" s="68" t="s">
        <v>53</v>
      </c>
      <c r="F9" s="68"/>
      <c r="G9" s="68"/>
      <c r="H9" s="68"/>
      <c r="I9" s="300"/>
      <c r="J9" s="68" t="s">
        <v>54</v>
      </c>
      <c r="K9" s="68">
        <v>-12</v>
      </c>
      <c r="L9" s="70"/>
      <c r="M9" s="71"/>
      <c r="N9" s="68"/>
    </row>
    <row r="10" spans="1:14" ht="12">
      <c r="A10" s="66"/>
      <c r="B10" s="68"/>
      <c r="C10" s="68"/>
      <c r="D10" s="68"/>
      <c r="E10" s="68" t="s">
        <v>55</v>
      </c>
      <c r="F10" s="68"/>
      <c r="G10" s="68"/>
      <c r="H10" s="68"/>
      <c r="I10" s="300"/>
      <c r="J10" s="68" t="s">
        <v>56</v>
      </c>
      <c r="K10" s="68">
        <v>-4</v>
      </c>
      <c r="L10" s="70"/>
      <c r="M10" s="68"/>
      <c r="N10" s="68"/>
    </row>
    <row r="11" spans="1:14" ht="12">
      <c r="A11" s="66"/>
      <c r="B11" s="68"/>
      <c r="C11" s="68"/>
      <c r="D11" s="68"/>
      <c r="E11" s="68"/>
      <c r="F11" s="68"/>
      <c r="G11" s="68"/>
      <c r="H11" s="68"/>
      <c r="I11" s="61"/>
      <c r="J11" s="68"/>
      <c r="K11" s="68"/>
      <c r="L11" s="70"/>
      <c r="M11" s="68"/>
      <c r="N11" s="68"/>
    </row>
    <row r="12" spans="1:14" ht="12">
      <c r="A12" s="66" t="s">
        <v>48</v>
      </c>
      <c r="B12" s="68" t="s">
        <v>57</v>
      </c>
      <c r="C12" s="68"/>
      <c r="D12" s="68"/>
      <c r="E12" s="68"/>
      <c r="F12" s="68"/>
      <c r="G12" s="68"/>
      <c r="H12" s="68"/>
      <c r="I12" s="61"/>
      <c r="J12" s="68"/>
      <c r="K12" s="68"/>
      <c r="L12" s="70"/>
      <c r="M12" s="68"/>
      <c r="N12" s="68"/>
    </row>
    <row r="13" spans="1:14" ht="12">
      <c r="A13" s="66"/>
      <c r="B13" s="68" t="s">
        <v>588</v>
      </c>
      <c r="C13" s="68"/>
      <c r="D13" s="68"/>
      <c r="E13" s="68"/>
      <c r="F13" s="68"/>
      <c r="G13" s="68"/>
      <c r="H13" s="68" t="s">
        <v>42</v>
      </c>
      <c r="I13" s="60"/>
      <c r="J13" s="68"/>
      <c r="K13" s="68"/>
      <c r="L13" s="70"/>
      <c r="M13" s="68"/>
      <c r="N13" s="68"/>
    </row>
    <row r="14" spans="1:14" ht="12">
      <c r="A14" s="66"/>
      <c r="B14" s="68"/>
      <c r="C14" s="68"/>
      <c r="D14" s="68"/>
      <c r="E14" s="68"/>
      <c r="F14" s="68"/>
      <c r="G14" s="68"/>
      <c r="H14" s="68" t="s">
        <v>43</v>
      </c>
      <c r="I14" s="60"/>
      <c r="J14" s="68"/>
      <c r="K14" s="68"/>
      <c r="L14" s="70"/>
      <c r="M14" s="68"/>
      <c r="N14" s="68"/>
    </row>
    <row r="15" spans="1:14" ht="12">
      <c r="A15" s="66"/>
      <c r="B15" s="68"/>
      <c r="C15" s="68"/>
      <c r="D15" s="68"/>
      <c r="E15" s="68"/>
      <c r="F15" s="68"/>
      <c r="G15" s="68"/>
      <c r="H15" s="68" t="s">
        <v>50</v>
      </c>
      <c r="I15" s="61"/>
      <c r="J15" s="68"/>
      <c r="K15" s="68"/>
      <c r="L15" s="70"/>
      <c r="M15" s="68"/>
      <c r="N15" s="68"/>
    </row>
    <row r="16" spans="1:14" ht="12">
      <c r="A16" s="66"/>
      <c r="B16" s="68"/>
      <c r="C16" s="68"/>
      <c r="D16" s="68"/>
      <c r="E16" s="68" t="s">
        <v>51</v>
      </c>
      <c r="F16" s="68"/>
      <c r="G16" s="68"/>
      <c r="H16" s="68"/>
      <c r="I16" s="300"/>
      <c r="J16" s="68" t="s">
        <v>58</v>
      </c>
      <c r="K16" s="68">
        <v>-84</v>
      </c>
      <c r="L16" s="70"/>
      <c r="M16" s="68"/>
      <c r="N16" s="68"/>
    </row>
    <row r="17" spans="1:14" ht="12">
      <c r="A17" s="66"/>
      <c r="B17" s="68"/>
      <c r="C17" s="68"/>
      <c r="D17" s="68"/>
      <c r="E17" s="68" t="s">
        <v>53</v>
      </c>
      <c r="F17" s="68"/>
      <c r="G17" s="68"/>
      <c r="H17" s="68"/>
      <c r="I17" s="300"/>
      <c r="J17" s="68" t="s">
        <v>59</v>
      </c>
      <c r="K17" s="68">
        <v>-96</v>
      </c>
      <c r="L17" s="70"/>
      <c r="M17" s="68"/>
      <c r="N17" s="68"/>
    </row>
    <row r="18" spans="1:14" ht="12">
      <c r="A18" s="66"/>
      <c r="B18" s="68"/>
      <c r="C18" s="68"/>
      <c r="D18" s="68"/>
      <c r="E18" s="68" t="s">
        <v>55</v>
      </c>
      <c r="F18" s="68"/>
      <c r="G18" s="68"/>
      <c r="H18" s="68"/>
      <c r="I18" s="300"/>
      <c r="J18" s="68" t="s">
        <v>56</v>
      </c>
      <c r="K18" s="68">
        <v>-4</v>
      </c>
      <c r="L18" s="70"/>
      <c r="M18" s="68"/>
      <c r="N18" s="68"/>
    </row>
    <row r="19" spans="1:14" ht="12">
      <c r="A19" s="66"/>
      <c r="B19" s="68"/>
      <c r="C19" s="68"/>
      <c r="D19" s="68"/>
      <c r="E19" s="68"/>
      <c r="F19" s="68"/>
      <c r="G19" s="68"/>
      <c r="H19" s="68"/>
      <c r="I19" s="61"/>
      <c r="J19" s="68"/>
      <c r="K19" s="68"/>
      <c r="L19" s="70"/>
      <c r="M19" s="68"/>
      <c r="N19" s="68"/>
    </row>
    <row r="20" spans="1:14" ht="12">
      <c r="A20" s="66"/>
      <c r="B20" s="68"/>
      <c r="C20" s="68"/>
      <c r="D20" s="68"/>
      <c r="E20" s="68"/>
      <c r="F20" s="68"/>
      <c r="G20" s="68"/>
      <c r="H20" s="68"/>
      <c r="I20" s="61"/>
      <c r="J20" s="68"/>
      <c r="K20" s="68"/>
      <c r="L20" s="70"/>
      <c r="M20" s="68"/>
      <c r="N20" s="68"/>
    </row>
    <row r="21" spans="1:14" ht="12">
      <c r="A21" s="66"/>
      <c r="B21" s="68" t="s">
        <v>60</v>
      </c>
      <c r="C21" s="68"/>
      <c r="D21" s="68"/>
      <c r="E21" s="68"/>
      <c r="F21" s="68"/>
      <c r="G21" s="68"/>
      <c r="H21" s="68"/>
      <c r="I21" s="61"/>
      <c r="J21" s="68"/>
      <c r="K21" s="68"/>
      <c r="L21" s="70"/>
      <c r="M21" s="68"/>
      <c r="N21" s="68"/>
    </row>
    <row r="22" spans="1:14" ht="12">
      <c r="A22" s="66" t="s">
        <v>48</v>
      </c>
      <c r="B22" s="68" t="s">
        <v>61</v>
      </c>
      <c r="C22" s="68"/>
      <c r="D22" s="68"/>
      <c r="E22" s="68"/>
      <c r="F22" s="68"/>
      <c r="G22" s="68"/>
      <c r="H22" s="68"/>
      <c r="I22" s="61"/>
      <c r="J22" s="68"/>
      <c r="K22" s="68"/>
      <c r="L22" s="70"/>
      <c r="M22" s="68"/>
      <c r="N22" s="68"/>
    </row>
    <row r="23" spans="1:14" ht="12">
      <c r="A23" s="66"/>
      <c r="B23" s="68" t="s">
        <v>573</v>
      </c>
      <c r="C23" s="68"/>
      <c r="D23" s="68"/>
      <c r="E23" s="68"/>
      <c r="F23" s="68"/>
      <c r="G23" s="68"/>
      <c r="H23" s="68"/>
      <c r="I23" s="300"/>
      <c r="J23" s="68" t="s">
        <v>62</v>
      </c>
      <c r="K23" s="68"/>
      <c r="L23" s="70">
        <v>-30</v>
      </c>
      <c r="M23" s="68"/>
      <c r="N23" s="68"/>
    </row>
    <row r="24" spans="1:14" ht="12">
      <c r="A24" s="66"/>
      <c r="B24" s="68"/>
      <c r="C24" s="68"/>
      <c r="D24" s="68"/>
      <c r="E24" s="68"/>
      <c r="F24" s="68"/>
      <c r="G24" s="68"/>
      <c r="H24" s="68"/>
      <c r="I24" s="61"/>
      <c r="J24" s="68"/>
      <c r="K24" s="68"/>
      <c r="L24" s="70"/>
      <c r="M24" s="68"/>
      <c r="N24" s="68"/>
    </row>
    <row r="25" spans="1:14" ht="12">
      <c r="A25" s="66"/>
      <c r="B25" s="68" t="s">
        <v>571</v>
      </c>
      <c r="C25" s="68"/>
      <c r="D25" s="68"/>
      <c r="E25" s="68"/>
      <c r="F25" s="68"/>
      <c r="G25" s="68"/>
      <c r="H25" s="68"/>
      <c r="I25" s="61"/>
      <c r="J25" s="68"/>
      <c r="K25" s="68"/>
      <c r="L25" s="70"/>
      <c r="M25" s="68"/>
      <c r="N25" s="68"/>
    </row>
    <row r="26" spans="1:14" ht="12">
      <c r="A26" s="66" t="s">
        <v>48</v>
      </c>
      <c r="B26" s="68"/>
      <c r="C26" s="68"/>
      <c r="D26" s="68"/>
      <c r="E26" s="68"/>
      <c r="F26" s="68"/>
      <c r="G26" s="68"/>
      <c r="H26" s="68"/>
      <c r="I26" s="300"/>
      <c r="J26" s="68" t="s">
        <v>63</v>
      </c>
      <c r="K26" s="68"/>
      <c r="L26" s="70">
        <v>-50</v>
      </c>
      <c r="M26" s="68"/>
      <c r="N26" s="68"/>
    </row>
    <row r="27" spans="1:14" ht="12">
      <c r="A27" s="66"/>
      <c r="B27" s="68" t="s">
        <v>64</v>
      </c>
      <c r="C27" s="68"/>
      <c r="D27" s="68"/>
      <c r="E27" s="68"/>
      <c r="F27" s="68"/>
      <c r="G27" s="68"/>
      <c r="H27" s="68"/>
      <c r="I27" s="61"/>
      <c r="J27" s="68"/>
      <c r="K27" s="68"/>
      <c r="L27" s="70"/>
      <c r="M27" s="68"/>
      <c r="N27" s="68"/>
    </row>
    <row r="28" spans="1:14" ht="12">
      <c r="A28" s="66" t="s">
        <v>48</v>
      </c>
      <c r="B28" s="68" t="s">
        <v>572</v>
      </c>
      <c r="C28" s="68"/>
      <c r="D28" s="68"/>
      <c r="E28" s="68"/>
      <c r="F28" s="68"/>
      <c r="G28" s="68"/>
      <c r="H28" s="68"/>
      <c r="I28" s="61"/>
      <c r="J28" s="68"/>
      <c r="K28" s="68"/>
      <c r="L28" s="70"/>
      <c r="M28" s="68"/>
      <c r="N28" s="68"/>
    </row>
    <row r="29" spans="1:14" ht="12">
      <c r="A29" s="66"/>
      <c r="B29" s="68"/>
      <c r="C29" s="68"/>
      <c r="D29" s="68"/>
      <c r="E29" s="68"/>
      <c r="F29" s="68"/>
      <c r="G29" s="68"/>
      <c r="H29" s="68"/>
      <c r="I29" s="300"/>
      <c r="J29" s="68" t="s">
        <v>63</v>
      </c>
      <c r="K29" s="68"/>
      <c r="L29" s="70">
        <v>-50</v>
      </c>
      <c r="M29" s="68"/>
      <c r="N29" s="68"/>
    </row>
    <row r="30" spans="1:14" ht="12">
      <c r="A30" s="66"/>
      <c r="B30" s="68" t="s">
        <v>65</v>
      </c>
      <c r="C30" s="68"/>
      <c r="D30" s="68"/>
      <c r="E30" s="68"/>
      <c r="F30" s="68"/>
      <c r="G30" s="68"/>
      <c r="H30" s="68"/>
      <c r="I30" s="61"/>
      <c r="J30" s="68"/>
      <c r="K30" s="68"/>
      <c r="L30" s="70"/>
      <c r="M30" s="68"/>
      <c r="N30" s="68"/>
    </row>
    <row r="31" spans="1:14" ht="12">
      <c r="A31" s="66" t="s">
        <v>48</v>
      </c>
      <c r="B31" s="68" t="s">
        <v>587</v>
      </c>
      <c r="C31" s="68"/>
      <c r="D31" s="68"/>
      <c r="E31" s="68"/>
      <c r="F31" s="68"/>
      <c r="G31" s="68"/>
      <c r="H31" s="68"/>
      <c r="I31" s="61"/>
      <c r="J31" s="68"/>
      <c r="K31" s="68"/>
      <c r="L31" s="70"/>
      <c r="M31" s="68"/>
      <c r="N31" s="68"/>
    </row>
    <row r="32" spans="1:14" ht="12">
      <c r="A32" s="66"/>
      <c r="B32" s="68"/>
      <c r="C32" s="68"/>
      <c r="D32" s="68"/>
      <c r="E32" s="68"/>
      <c r="F32" s="68"/>
      <c r="G32" s="68"/>
      <c r="H32" s="68"/>
      <c r="I32" s="300"/>
      <c r="J32" s="68" t="s">
        <v>585</v>
      </c>
      <c r="K32" s="68">
        <v>-70</v>
      </c>
      <c r="L32" s="70"/>
      <c r="M32" s="68"/>
      <c r="N32" s="68"/>
    </row>
    <row r="33" spans="1:14" ht="12">
      <c r="A33" s="66"/>
      <c r="B33" s="68" t="s">
        <v>65</v>
      </c>
      <c r="C33" s="68"/>
      <c r="D33" s="68"/>
      <c r="E33" s="68"/>
      <c r="F33" s="68"/>
      <c r="G33" s="68"/>
      <c r="H33" s="68"/>
      <c r="I33" s="61"/>
      <c r="J33" s="68"/>
      <c r="K33" s="68"/>
      <c r="L33" s="70"/>
      <c r="M33" s="68"/>
      <c r="N33" s="68"/>
    </row>
    <row r="34" spans="1:14" ht="12">
      <c r="A34" s="66" t="s">
        <v>48</v>
      </c>
      <c r="B34" s="68" t="s">
        <v>587</v>
      </c>
      <c r="C34" s="68"/>
      <c r="D34" s="68"/>
      <c r="E34" s="68"/>
      <c r="F34" s="68"/>
      <c r="G34" s="68"/>
      <c r="H34" s="68"/>
      <c r="I34" s="61"/>
      <c r="J34" s="68"/>
      <c r="K34" s="68"/>
      <c r="L34" s="70"/>
      <c r="M34" s="68"/>
      <c r="N34" s="68"/>
    </row>
    <row r="35" spans="1:14" ht="12">
      <c r="A35" s="66"/>
      <c r="B35" s="68"/>
      <c r="C35" s="68"/>
      <c r="D35" s="68"/>
      <c r="E35" s="68"/>
      <c r="F35" s="68"/>
      <c r="G35" s="68"/>
      <c r="H35" s="68"/>
      <c r="I35" s="300"/>
      <c r="J35" s="68" t="s">
        <v>586</v>
      </c>
      <c r="K35" s="68"/>
      <c r="L35" s="70">
        <v>-70</v>
      </c>
      <c r="M35" s="68"/>
      <c r="N35" s="68"/>
    </row>
    <row r="36" spans="1:14" ht="12">
      <c r="A36" s="66"/>
      <c r="B36" s="68" t="s">
        <v>66</v>
      </c>
      <c r="C36" s="68"/>
      <c r="D36" s="68"/>
      <c r="E36" s="68"/>
      <c r="F36" s="68"/>
      <c r="G36" s="68"/>
      <c r="H36" s="68"/>
      <c r="I36" s="61"/>
      <c r="J36" s="68"/>
      <c r="K36" s="68"/>
      <c r="L36" s="70"/>
      <c r="M36" s="68"/>
      <c r="N36" s="68"/>
    </row>
    <row r="37" spans="1:14" ht="12">
      <c r="A37" s="66" t="s">
        <v>48</v>
      </c>
      <c r="B37" s="68" t="s">
        <v>583</v>
      </c>
      <c r="C37" s="68"/>
      <c r="D37" s="68"/>
      <c r="E37" s="68"/>
      <c r="F37" s="68"/>
      <c r="G37" s="68"/>
      <c r="H37" s="68"/>
      <c r="I37" s="300"/>
      <c r="J37" s="68" t="s">
        <v>584</v>
      </c>
      <c r="K37" s="68">
        <v>-50</v>
      </c>
      <c r="L37" s="70"/>
      <c r="M37" s="68"/>
      <c r="N37" s="68"/>
    </row>
    <row r="38" spans="1:14" ht="12">
      <c r="A38" s="66"/>
      <c r="B38" s="68"/>
      <c r="C38" s="68"/>
      <c r="D38" s="68"/>
      <c r="E38" s="68"/>
      <c r="F38" s="68"/>
      <c r="G38" s="68"/>
      <c r="H38" s="68"/>
      <c r="I38" s="61"/>
      <c r="J38" s="68"/>
      <c r="K38" s="68"/>
      <c r="L38" s="70"/>
      <c r="M38" s="68"/>
      <c r="N38" s="68"/>
    </row>
    <row r="39" spans="1:14" ht="12">
      <c r="A39" s="66"/>
      <c r="B39" s="68" t="s">
        <v>66</v>
      </c>
      <c r="C39" s="68"/>
      <c r="D39" s="68"/>
      <c r="E39" s="68"/>
      <c r="F39" s="68"/>
      <c r="G39" s="68"/>
      <c r="H39" s="68"/>
      <c r="I39" s="61"/>
      <c r="J39" s="68"/>
      <c r="K39" s="68"/>
      <c r="L39" s="70"/>
      <c r="M39" s="68"/>
      <c r="N39" s="68"/>
    </row>
    <row r="40" spans="1:14" ht="12">
      <c r="A40" s="66" t="s">
        <v>48</v>
      </c>
      <c r="B40" s="68" t="s">
        <v>583</v>
      </c>
      <c r="C40" s="68"/>
      <c r="D40" s="68"/>
      <c r="E40" s="68"/>
      <c r="F40" s="68"/>
      <c r="G40" s="68"/>
      <c r="H40" s="68"/>
      <c r="I40" s="300"/>
      <c r="J40" s="68" t="s">
        <v>63</v>
      </c>
      <c r="K40" s="68"/>
      <c r="L40" s="70">
        <v>-50</v>
      </c>
      <c r="M40" s="68"/>
      <c r="N40" s="68"/>
    </row>
    <row r="41" spans="1:14" ht="12">
      <c r="A41" s="66"/>
      <c r="B41" s="68"/>
      <c r="C41" s="68"/>
      <c r="D41" s="68"/>
      <c r="E41" s="68"/>
      <c r="F41" s="68"/>
      <c r="G41" s="68"/>
      <c r="H41" s="68"/>
      <c r="I41" s="61"/>
      <c r="J41" s="68"/>
      <c r="K41" s="68"/>
      <c r="L41" s="70"/>
      <c r="M41" s="68"/>
      <c r="N41" s="68"/>
    </row>
    <row r="42" spans="1:14" ht="12">
      <c r="A42" s="66"/>
      <c r="B42" s="356" t="s">
        <v>67</v>
      </c>
      <c r="C42" s="68"/>
      <c r="D42" s="68"/>
      <c r="E42" s="68"/>
      <c r="F42" s="68"/>
      <c r="G42" s="68"/>
      <c r="H42" s="68"/>
      <c r="I42" s="61"/>
      <c r="J42" s="68"/>
      <c r="K42" s="68"/>
      <c r="L42" s="70"/>
      <c r="M42" s="68"/>
      <c r="N42" s="68"/>
    </row>
    <row r="43" spans="1:14" ht="12">
      <c r="A43" s="66" t="s">
        <v>48</v>
      </c>
      <c r="B43" s="68"/>
      <c r="C43" s="68"/>
      <c r="D43" s="68"/>
      <c r="E43" s="68"/>
      <c r="F43" s="68"/>
      <c r="G43" s="68"/>
      <c r="H43" s="68"/>
      <c r="I43" s="300"/>
      <c r="J43" s="68" t="s">
        <v>63</v>
      </c>
      <c r="K43" s="68"/>
      <c r="L43" s="70">
        <v>-50</v>
      </c>
      <c r="M43" s="68"/>
      <c r="N43" s="68"/>
    </row>
    <row r="44" spans="1:14" ht="12">
      <c r="A44" s="66"/>
      <c r="B44" s="68" t="s">
        <v>581</v>
      </c>
      <c r="C44" s="68"/>
      <c r="D44" s="68"/>
      <c r="E44" s="68"/>
      <c r="F44" s="68"/>
      <c r="G44" s="68"/>
      <c r="H44" s="68"/>
      <c r="I44" s="61"/>
      <c r="J44" s="68"/>
      <c r="K44" s="68"/>
      <c r="L44" s="70"/>
      <c r="M44" s="68"/>
      <c r="N44" s="68"/>
    </row>
    <row r="45" spans="1:14" ht="12">
      <c r="A45" s="66" t="s">
        <v>48</v>
      </c>
      <c r="B45" s="68" t="s">
        <v>582</v>
      </c>
      <c r="C45" s="68"/>
      <c r="D45" s="68"/>
      <c r="E45" s="68"/>
      <c r="F45" s="68"/>
      <c r="G45" s="68"/>
      <c r="H45" s="68"/>
      <c r="I45" s="300"/>
      <c r="J45" s="68" t="s">
        <v>63</v>
      </c>
      <c r="K45" s="68"/>
      <c r="L45" s="70">
        <v>-50</v>
      </c>
      <c r="M45" s="68"/>
      <c r="N45" s="68"/>
    </row>
    <row r="46" spans="1:14" ht="12">
      <c r="A46" s="66"/>
      <c r="B46" s="68"/>
      <c r="C46" s="68"/>
      <c r="D46" s="68"/>
      <c r="E46" s="68"/>
      <c r="F46" s="68"/>
      <c r="G46" s="68"/>
      <c r="H46" s="68"/>
      <c r="I46" s="61"/>
      <c r="J46" s="68"/>
      <c r="K46" s="68"/>
      <c r="L46" s="70"/>
      <c r="M46" s="68"/>
      <c r="N46" s="68"/>
    </row>
    <row r="47" spans="1:14" ht="12">
      <c r="A47" s="66"/>
      <c r="B47" s="68" t="s">
        <v>580</v>
      </c>
      <c r="C47" s="68"/>
      <c r="D47" s="68"/>
      <c r="E47" s="68"/>
      <c r="F47" s="68"/>
      <c r="G47" s="68"/>
      <c r="H47" s="68"/>
      <c r="I47" s="61"/>
      <c r="J47" s="68"/>
      <c r="K47" s="68"/>
      <c r="L47" s="70"/>
      <c r="M47" s="68"/>
      <c r="N47" s="68"/>
    </row>
    <row r="48" spans="1:14" ht="12">
      <c r="A48" s="66" t="s">
        <v>48</v>
      </c>
      <c r="B48" s="68"/>
      <c r="C48" s="68"/>
      <c r="D48" s="68"/>
      <c r="E48" s="68"/>
      <c r="F48" s="68"/>
      <c r="G48" s="68"/>
      <c r="H48" s="68"/>
      <c r="I48" s="300"/>
      <c r="J48" s="68" t="s">
        <v>63</v>
      </c>
      <c r="K48" s="68"/>
      <c r="L48" s="70">
        <v>-50</v>
      </c>
      <c r="M48" s="68"/>
      <c r="N48" s="68"/>
    </row>
    <row r="49" spans="1:14" ht="12">
      <c r="A49" s="66"/>
      <c r="B49" s="68" t="s">
        <v>69</v>
      </c>
      <c r="C49" s="68"/>
      <c r="D49" s="68"/>
      <c r="E49" s="68"/>
      <c r="F49" s="68"/>
      <c r="G49" s="68"/>
      <c r="H49" s="68"/>
      <c r="I49" s="61"/>
      <c r="J49" s="68"/>
      <c r="K49" s="68"/>
      <c r="L49" s="70"/>
      <c r="M49" s="68"/>
      <c r="N49" s="68"/>
    </row>
    <row r="50" spans="1:14" ht="12">
      <c r="A50" s="66" t="s">
        <v>48</v>
      </c>
      <c r="B50" s="68" t="s">
        <v>70</v>
      </c>
      <c r="C50" s="68"/>
      <c r="D50" s="68"/>
      <c r="E50" s="68"/>
      <c r="F50" s="68"/>
      <c r="G50" s="68"/>
      <c r="H50" s="68"/>
      <c r="I50" s="61"/>
      <c r="J50" s="68"/>
      <c r="K50" s="68"/>
      <c r="L50" s="70"/>
      <c r="M50" s="68"/>
      <c r="N50" s="68"/>
    </row>
    <row r="51" spans="1:14" ht="12">
      <c r="A51" s="66"/>
      <c r="B51" s="68"/>
      <c r="C51" s="68"/>
      <c r="D51" s="68"/>
      <c r="E51" s="68"/>
      <c r="F51" s="68"/>
      <c r="G51" s="68"/>
      <c r="H51" s="68"/>
      <c r="I51" s="300"/>
      <c r="J51" s="68" t="s">
        <v>63</v>
      </c>
      <c r="K51" s="68"/>
      <c r="L51" s="70">
        <v>-50</v>
      </c>
      <c r="M51" s="68"/>
      <c r="N51" s="68"/>
    </row>
    <row r="52" spans="1:14" ht="12">
      <c r="A52" s="66"/>
      <c r="B52" s="68" t="s">
        <v>578</v>
      </c>
      <c r="C52" s="68"/>
      <c r="D52" s="68"/>
      <c r="E52" s="68"/>
      <c r="F52" s="68"/>
      <c r="G52" s="68"/>
      <c r="H52" s="68"/>
      <c r="I52" s="61"/>
      <c r="J52" s="68"/>
      <c r="K52" s="68"/>
      <c r="L52" s="70"/>
      <c r="M52" s="68"/>
      <c r="N52" s="68"/>
    </row>
    <row r="53" spans="1:14" ht="12">
      <c r="A53" s="66" t="s">
        <v>48</v>
      </c>
      <c r="B53" s="68" t="s">
        <v>579</v>
      </c>
      <c r="C53" s="68"/>
      <c r="D53" s="68"/>
      <c r="E53" s="68"/>
      <c r="F53" s="68"/>
      <c r="G53" s="68"/>
      <c r="H53" s="68"/>
      <c r="I53" s="300"/>
      <c r="J53" s="68" t="s">
        <v>68</v>
      </c>
      <c r="K53" s="68"/>
      <c r="L53" s="70">
        <v>-20</v>
      </c>
      <c r="M53" s="68"/>
      <c r="N53" s="68"/>
    </row>
    <row r="54" spans="1:14" ht="12">
      <c r="A54" s="66"/>
      <c r="B54" s="68"/>
      <c r="C54" s="68"/>
      <c r="D54" s="68"/>
      <c r="E54" s="68"/>
      <c r="F54" s="68"/>
      <c r="G54" s="68"/>
      <c r="H54" s="68"/>
      <c r="I54" s="61"/>
      <c r="J54" s="68"/>
      <c r="K54" s="68"/>
      <c r="L54" s="70"/>
      <c r="M54" s="68"/>
      <c r="N54" s="68"/>
    </row>
    <row r="55" spans="1:14" ht="12">
      <c r="A55" s="66"/>
      <c r="B55" s="68" t="s">
        <v>71</v>
      </c>
      <c r="C55" s="68"/>
      <c r="D55" s="68"/>
      <c r="E55" s="68"/>
      <c r="F55" s="68"/>
      <c r="G55" s="68"/>
      <c r="H55" s="68"/>
      <c r="I55" s="61"/>
      <c r="J55" s="68"/>
      <c r="K55" s="68"/>
      <c r="L55" s="70"/>
      <c r="M55" s="68"/>
      <c r="N55" s="68"/>
    </row>
    <row r="56" spans="1:14" ht="12">
      <c r="A56" s="66" t="s">
        <v>48</v>
      </c>
      <c r="B56" s="68" t="s">
        <v>72</v>
      </c>
      <c r="C56" s="68"/>
      <c r="D56" s="68"/>
      <c r="E56" s="68"/>
      <c r="F56" s="68"/>
      <c r="G56" s="68"/>
      <c r="H56" s="68"/>
      <c r="I56" s="61"/>
      <c r="J56" s="68"/>
      <c r="K56" s="68"/>
      <c r="L56" s="70"/>
      <c r="M56" s="68"/>
      <c r="N56" s="68"/>
    </row>
    <row r="57" spans="1:14" ht="12">
      <c r="A57" s="66"/>
      <c r="B57" s="68" t="s">
        <v>577</v>
      </c>
      <c r="C57" s="68"/>
      <c r="D57" s="68"/>
      <c r="E57" s="68"/>
      <c r="F57" s="68"/>
      <c r="G57" s="68"/>
      <c r="H57" s="68"/>
      <c r="I57" s="61"/>
      <c r="J57" s="68"/>
      <c r="K57" s="68"/>
      <c r="L57" s="70"/>
      <c r="M57" s="68"/>
      <c r="N57" s="68"/>
    </row>
    <row r="58" spans="1:14" ht="12">
      <c r="A58" s="66"/>
      <c r="B58" s="68"/>
      <c r="C58" s="68"/>
      <c r="D58" s="68"/>
      <c r="E58" s="68"/>
      <c r="F58" s="68"/>
      <c r="G58" s="68"/>
      <c r="H58" s="68"/>
      <c r="I58" s="300"/>
      <c r="J58" s="68" t="s">
        <v>63</v>
      </c>
      <c r="K58" s="68"/>
      <c r="L58" s="70">
        <v>-50</v>
      </c>
      <c r="M58" s="68"/>
      <c r="N58" s="68"/>
    </row>
    <row r="59" spans="1:14" ht="12">
      <c r="A59" s="66"/>
      <c r="B59" s="355" t="s">
        <v>574</v>
      </c>
      <c r="C59" s="68"/>
      <c r="D59" s="68"/>
      <c r="E59" s="68"/>
      <c r="F59" s="68"/>
      <c r="G59" s="68"/>
      <c r="H59" s="68"/>
      <c r="I59" s="61"/>
      <c r="J59" s="68"/>
      <c r="K59" s="68"/>
      <c r="L59" s="70"/>
      <c r="M59" s="68"/>
      <c r="N59" s="68"/>
    </row>
    <row r="60" spans="1:14" ht="12">
      <c r="A60" s="66" t="s">
        <v>48</v>
      </c>
      <c r="B60" s="68" t="s">
        <v>575</v>
      </c>
      <c r="C60" s="68"/>
      <c r="D60" s="68"/>
      <c r="E60" s="68"/>
      <c r="F60" s="68"/>
      <c r="G60" s="68"/>
      <c r="H60" s="68"/>
      <c r="I60" s="300"/>
      <c r="J60" s="68" t="s">
        <v>63</v>
      </c>
      <c r="K60" s="68"/>
      <c r="L60" s="70">
        <v>-50</v>
      </c>
      <c r="M60" s="68"/>
      <c r="N60" s="68"/>
    </row>
    <row r="61" spans="1:14" ht="12">
      <c r="A61" s="66"/>
      <c r="B61" s="68" t="s">
        <v>576</v>
      </c>
      <c r="C61" s="68"/>
      <c r="D61" s="68"/>
      <c r="E61" s="68"/>
      <c r="F61" s="68"/>
      <c r="G61" s="68"/>
      <c r="H61" s="68"/>
      <c r="I61" s="61"/>
      <c r="J61" s="68"/>
      <c r="K61" s="68"/>
      <c r="L61" s="70"/>
      <c r="M61" s="68"/>
      <c r="N61" s="68"/>
    </row>
    <row r="62" spans="1:14" ht="12">
      <c r="A62" s="66"/>
      <c r="B62" s="68"/>
      <c r="C62" s="68"/>
      <c r="D62" s="68"/>
      <c r="E62" s="68"/>
      <c r="F62" s="68"/>
      <c r="G62" s="68"/>
      <c r="H62" s="68"/>
      <c r="I62" s="61"/>
      <c r="J62" s="68"/>
      <c r="K62" s="68"/>
      <c r="L62" s="70"/>
      <c r="M62" s="68"/>
      <c r="N62" s="68"/>
    </row>
    <row r="63" spans="1:14" ht="12">
      <c r="A63" s="66"/>
      <c r="B63" s="68"/>
      <c r="C63" s="68"/>
      <c r="D63" s="68"/>
      <c r="E63" s="68"/>
      <c r="F63" s="68"/>
      <c r="G63" s="68"/>
      <c r="H63" s="68"/>
      <c r="I63" s="61"/>
      <c r="J63" s="68"/>
      <c r="K63" s="69" t="s">
        <v>40</v>
      </c>
      <c r="L63" s="69" t="s">
        <v>41</v>
      </c>
      <c r="M63" s="103"/>
      <c r="N63" s="68"/>
    </row>
    <row r="64" spans="1:14" ht="12">
      <c r="A64" s="66"/>
      <c r="B64" s="68"/>
      <c r="C64" s="68"/>
      <c r="D64" s="68"/>
      <c r="E64" s="68"/>
      <c r="F64" s="68"/>
      <c r="G64" s="68"/>
      <c r="H64" s="71"/>
      <c r="I64" s="72"/>
      <c r="J64" s="71"/>
      <c r="K64" s="73">
        <f>SUM(I8,I9,I10,I16,I17,I18,I32,I37,)</f>
        <v>0</v>
      </c>
      <c r="L64" s="74">
        <f>SUM(I23,I26,I29,I35,I40,I43,I45,I48,I51,I53,I58,I60)</f>
        <v>0</v>
      </c>
      <c r="M64" s="102"/>
      <c r="N64" s="68"/>
    </row>
    <row r="65" spans="1:14" ht="12">
      <c r="A65" s="66"/>
      <c r="B65" s="105"/>
      <c r="C65" s="68"/>
      <c r="D65" s="68"/>
      <c r="E65" s="68"/>
      <c r="F65" s="68"/>
      <c r="G65" s="68"/>
      <c r="H65" s="71" t="s">
        <v>46</v>
      </c>
      <c r="I65" s="61"/>
      <c r="J65" s="68"/>
      <c r="K65" s="133">
        <f>IF(K64&gt;75,75,K64)</f>
        <v>0</v>
      </c>
      <c r="L65" s="134">
        <f>IF(L64&gt;75,75,L64)</f>
        <v>0</v>
      </c>
      <c r="M65" s="61"/>
      <c r="N65" s="68"/>
    </row>
    <row r="66" spans="1:14" ht="12">
      <c r="A66" s="108"/>
      <c r="C66" s="105"/>
      <c r="D66" s="105"/>
      <c r="E66" s="105"/>
      <c r="F66" s="105"/>
      <c r="G66" s="105"/>
      <c r="H66" s="105"/>
      <c r="I66" s="106"/>
      <c r="J66" s="105"/>
      <c r="K66" s="105"/>
      <c r="L66" s="107"/>
      <c r="M66" s="68"/>
      <c r="N66" s="68"/>
    </row>
    <row r="67" ht="12">
      <c r="N67" s="68"/>
    </row>
    <row r="68" spans="2:14" ht="12.75">
      <c r="B68" s="104"/>
      <c r="C68" s="109"/>
      <c r="D68" s="104"/>
      <c r="E68" s="104"/>
      <c r="F68" s="104"/>
      <c r="G68" s="104"/>
      <c r="H68" s="104"/>
      <c r="N68" s="68"/>
    </row>
    <row r="69" ht="12">
      <c r="N69" s="68"/>
    </row>
    <row r="70" ht="12">
      <c r="N70" s="68"/>
    </row>
    <row r="71" ht="12">
      <c r="N71" s="68"/>
    </row>
    <row r="72" ht="12">
      <c r="N72" s="68"/>
    </row>
    <row r="73" ht="12">
      <c r="N73" s="68"/>
    </row>
  </sheetData>
  <sheetProtection/>
  <mergeCells count="1">
    <mergeCell ref="K1:L1"/>
  </mergeCells>
  <printOptions horizontalCentered="1"/>
  <pageMargins left="0.31496062992125984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C4" sqref="C3:C4"/>
    </sheetView>
  </sheetViews>
  <sheetFormatPr defaultColWidth="9.140625" defaultRowHeight="12.75"/>
  <cols>
    <col min="1" max="1" width="25.7109375" style="13" customWidth="1"/>
    <col min="2" max="2" width="5.7109375" style="13" customWidth="1"/>
    <col min="3" max="7" width="10.7109375" style="13" customWidth="1"/>
    <col min="8" max="16384" width="9.140625" style="13" customWidth="1"/>
  </cols>
  <sheetData>
    <row r="1" spans="1:9" ht="12.75">
      <c r="A1" s="13" t="s">
        <v>73</v>
      </c>
      <c r="I1" s="110"/>
    </row>
    <row r="3" spans="1:9" ht="12.75">
      <c r="A3" s="13" t="s">
        <v>74</v>
      </c>
      <c r="B3" s="138" t="s">
        <v>75</v>
      </c>
      <c r="C3" s="353"/>
      <c r="I3" s="110"/>
    </row>
    <row r="4" spans="2:3" ht="12.75">
      <c r="B4" s="138" t="s">
        <v>76</v>
      </c>
      <c r="C4" s="354"/>
    </row>
    <row r="5" spans="1:6" ht="12.75">
      <c r="A5" s="15"/>
      <c r="B5" s="15"/>
      <c r="C5" s="15"/>
      <c r="D5" s="15"/>
      <c r="E5" s="15"/>
      <c r="F5" s="15"/>
    </row>
    <row r="6" spans="1:7" ht="12.75">
      <c r="A6" s="16" t="s">
        <v>77</v>
      </c>
      <c r="B6" s="16"/>
      <c r="C6" s="2" t="s">
        <v>78</v>
      </c>
      <c r="D6" s="14" t="s">
        <v>78</v>
      </c>
      <c r="E6" s="14" t="s">
        <v>78</v>
      </c>
      <c r="F6" s="14" t="s">
        <v>78</v>
      </c>
      <c r="G6" s="14" t="s">
        <v>78</v>
      </c>
    </row>
    <row r="7" spans="1:7" ht="12.75">
      <c r="A7" s="17" t="s">
        <v>79</v>
      </c>
      <c r="B7" s="17"/>
      <c r="C7" s="18" t="s">
        <v>80</v>
      </c>
      <c r="D7" s="17" t="s">
        <v>80</v>
      </c>
      <c r="E7" s="17" t="s">
        <v>80</v>
      </c>
      <c r="F7" s="17" t="s">
        <v>80</v>
      </c>
      <c r="G7" s="17" t="s">
        <v>80</v>
      </c>
    </row>
    <row r="8" spans="1:7" ht="12.75">
      <c r="A8" s="19" t="s">
        <v>81</v>
      </c>
      <c r="B8" s="19"/>
      <c r="C8" s="20" t="s">
        <v>82</v>
      </c>
      <c r="D8" s="19" t="s">
        <v>83</v>
      </c>
      <c r="E8" s="19" t="s">
        <v>84</v>
      </c>
      <c r="F8" s="19" t="s">
        <v>85</v>
      </c>
      <c r="G8" s="19" t="s">
        <v>86</v>
      </c>
    </row>
    <row r="9" spans="1:7" ht="12.75">
      <c r="A9" s="17" t="s">
        <v>87</v>
      </c>
      <c r="B9" s="17" t="s">
        <v>75</v>
      </c>
      <c r="C9" s="142">
        <v>25.478884659680727</v>
      </c>
      <c r="D9" s="142">
        <v>25.478884659680727</v>
      </c>
      <c r="E9" s="142">
        <v>30.57476488299669</v>
      </c>
      <c r="F9" s="142">
        <v>25.478884659680727</v>
      </c>
      <c r="G9" s="142"/>
    </row>
    <row r="10" spans="1:7" ht="12.75">
      <c r="A10" s="19" t="s">
        <v>88</v>
      </c>
      <c r="B10" s="19" t="s">
        <v>76</v>
      </c>
      <c r="C10" s="143">
        <v>33.23916602539935</v>
      </c>
      <c r="D10" s="143">
        <v>33.23916602539935</v>
      </c>
      <c r="E10" s="143">
        <v>33.23916602539935</v>
      </c>
      <c r="F10" s="143">
        <v>33.23916602539935</v>
      </c>
      <c r="G10" s="143"/>
    </row>
    <row r="11" spans="1:7" ht="12.75">
      <c r="A11" s="22" t="s">
        <v>87</v>
      </c>
      <c r="B11" s="22" t="s">
        <v>75</v>
      </c>
      <c r="C11" s="142">
        <v>25.478884659680727</v>
      </c>
      <c r="D11" s="142">
        <v>25.478884659680727</v>
      </c>
      <c r="E11" s="142">
        <v>28.027082999788252</v>
      </c>
      <c r="F11" s="142">
        <v>25.478884659680727</v>
      </c>
      <c r="G11" s="142"/>
    </row>
    <row r="12" spans="1:7" ht="12.75">
      <c r="A12" s="19" t="s">
        <v>89</v>
      </c>
      <c r="B12" s="19" t="s">
        <v>76</v>
      </c>
      <c r="C12" s="143">
        <v>33.23916602539935</v>
      </c>
      <c r="D12" s="143">
        <v>33.23916602539935</v>
      </c>
      <c r="E12" s="143">
        <v>33.23916602539935</v>
      </c>
      <c r="F12" s="143">
        <v>33.23916602539935</v>
      </c>
      <c r="G12" s="143"/>
    </row>
    <row r="13" spans="1:7" ht="12.75">
      <c r="A13" s="17" t="s">
        <v>87</v>
      </c>
      <c r="B13" s="17" t="s">
        <v>75</v>
      </c>
      <c r="C13" s="142">
        <v>25.478884659680727</v>
      </c>
      <c r="D13" s="142">
        <v>25.478884659680727</v>
      </c>
      <c r="E13" s="142">
        <v>25.478884659680727</v>
      </c>
      <c r="F13" s="142">
        <v>25.478884659680727</v>
      </c>
      <c r="G13" s="142"/>
    </row>
    <row r="14" spans="1:7" ht="12.75">
      <c r="A14" s="19" t="s">
        <v>90</v>
      </c>
      <c r="B14" s="19" t="s">
        <v>76</v>
      </c>
      <c r="C14" s="143">
        <v>33.23916602539935</v>
      </c>
      <c r="D14" s="143">
        <v>33.23916602539935</v>
      </c>
      <c r="E14" s="143">
        <v>33.23916602539935</v>
      </c>
      <c r="F14" s="143">
        <v>33.23916602539935</v>
      </c>
      <c r="G14" s="143"/>
    </row>
    <row r="15" spans="1:7" ht="12.75">
      <c r="A15" s="22" t="s">
        <v>87</v>
      </c>
      <c r="B15" s="22" t="s">
        <v>75</v>
      </c>
      <c r="C15" s="142">
        <v>25.478884659680727</v>
      </c>
      <c r="D15" s="142">
        <v>25.478884659680727</v>
      </c>
      <c r="E15" s="142">
        <v>22.93120277647229</v>
      </c>
      <c r="F15" s="142">
        <v>25.478884659680727</v>
      </c>
      <c r="G15" s="142"/>
    </row>
    <row r="16" spans="1:7" ht="12.75">
      <c r="A16" s="19" t="s">
        <v>91</v>
      </c>
      <c r="B16" s="19" t="s">
        <v>76</v>
      </c>
      <c r="C16" s="143">
        <v>33.23916602539935</v>
      </c>
      <c r="D16" s="143">
        <v>33.23916602539935</v>
      </c>
      <c r="E16" s="143">
        <v>33.23916602539935</v>
      </c>
      <c r="F16" s="143">
        <v>33.23916602539935</v>
      </c>
      <c r="G16" s="143"/>
    </row>
    <row r="17" spans="1:7" ht="12.75">
      <c r="A17" s="22" t="s">
        <v>92</v>
      </c>
      <c r="B17" s="22" t="s">
        <v>75</v>
      </c>
      <c r="C17" s="142">
        <v>20.383004436364764</v>
      </c>
      <c r="D17" s="142">
        <v>20.383004436364764</v>
      </c>
      <c r="E17" s="142">
        <v>20.383004436364764</v>
      </c>
      <c r="F17" s="142">
        <v>20.383004436364764</v>
      </c>
      <c r="G17" s="142">
        <v>20.383004436364764</v>
      </c>
    </row>
    <row r="18" spans="1:7" ht="12.75">
      <c r="A18" s="19" t="s">
        <v>93</v>
      </c>
      <c r="B18" s="19" t="s">
        <v>76</v>
      </c>
      <c r="C18" s="143">
        <v>26.59133282031948</v>
      </c>
      <c r="D18" s="143">
        <v>26.59133282031948</v>
      </c>
      <c r="E18" s="143">
        <v>26.59133282031948</v>
      </c>
      <c r="F18" s="143">
        <v>26.59133282031948</v>
      </c>
      <c r="G18" s="143">
        <v>26.59133282031948</v>
      </c>
    </row>
    <row r="19" spans="1:7" ht="12.75">
      <c r="A19" s="22" t="s">
        <v>92</v>
      </c>
      <c r="B19" s="22" t="s">
        <v>75</v>
      </c>
      <c r="C19" s="142">
        <v>5.095880223315963</v>
      </c>
      <c r="D19" s="142">
        <v>5.095880223315963</v>
      </c>
      <c r="E19" s="142">
        <v>5.095880223315963</v>
      </c>
      <c r="F19" s="142">
        <v>5.095880223315963</v>
      </c>
      <c r="G19" s="142">
        <v>5.095880223315963</v>
      </c>
    </row>
    <row r="20" spans="1:7" ht="12.75">
      <c r="A20" s="19" t="s">
        <v>94</v>
      </c>
      <c r="B20" s="19" t="s">
        <v>76</v>
      </c>
      <c r="C20" s="143">
        <v>6.64783320507987</v>
      </c>
      <c r="D20" s="143">
        <v>6.64783320507987</v>
      </c>
      <c r="E20" s="143">
        <v>6.64783320507987</v>
      </c>
      <c r="F20" s="143">
        <v>6.64783320507987</v>
      </c>
      <c r="G20" s="143">
        <v>6.64783320507987</v>
      </c>
    </row>
    <row r="21" spans="1:7" ht="12.75">
      <c r="A21" s="22" t="s">
        <v>95</v>
      </c>
      <c r="B21" s="22" t="s">
        <v>75</v>
      </c>
      <c r="C21" s="142">
        <v>15.2871242130488</v>
      </c>
      <c r="D21" s="142">
        <v>15.2871242130488</v>
      </c>
      <c r="E21" s="142">
        <v>15.2871242130488</v>
      </c>
      <c r="F21" s="142">
        <v>15.2871242130488</v>
      </c>
      <c r="G21" s="142">
        <v>15.2871242130488</v>
      </c>
    </row>
    <row r="22" spans="1:7" ht="12.75">
      <c r="A22" s="19" t="s">
        <v>93</v>
      </c>
      <c r="B22" s="22" t="s">
        <v>76</v>
      </c>
      <c r="C22" s="143">
        <v>19.94349961523961</v>
      </c>
      <c r="D22" s="143">
        <v>19.94349961523961</v>
      </c>
      <c r="E22" s="143">
        <v>19.94349961523961</v>
      </c>
      <c r="F22" s="143">
        <v>19.94349961523961</v>
      </c>
      <c r="G22" s="143">
        <v>19.94349961523961</v>
      </c>
    </row>
    <row r="23" spans="1:7" ht="12.75">
      <c r="A23" s="23" t="s">
        <v>96</v>
      </c>
      <c r="B23" s="24"/>
      <c r="C23" s="25"/>
      <c r="D23" s="25"/>
      <c r="E23" s="25"/>
      <c r="F23" s="25"/>
      <c r="G23" s="26"/>
    </row>
    <row r="24" spans="1:7" ht="12.75">
      <c r="A24" s="27" t="s">
        <v>97</v>
      </c>
      <c r="B24" s="28" t="s">
        <v>98</v>
      </c>
      <c r="C24" s="29"/>
      <c r="D24" s="29"/>
      <c r="E24" s="29"/>
      <c r="F24" s="29"/>
      <c r="G24" s="30"/>
    </row>
    <row r="25" spans="1:7" ht="12.75">
      <c r="A25" s="31" t="s">
        <v>93</v>
      </c>
      <c r="B25" s="32"/>
      <c r="C25" s="33"/>
      <c r="D25" s="33"/>
      <c r="E25" s="33"/>
      <c r="F25" s="33"/>
      <c r="G25" s="34"/>
    </row>
    <row r="26" ht="12.75">
      <c r="A26" s="35"/>
    </row>
    <row r="27" spans="1:6" ht="12.75">
      <c r="A27" s="36" t="s">
        <v>99</v>
      </c>
      <c r="B27" s="37"/>
      <c r="C27" s="37"/>
      <c r="D27" s="37"/>
      <c r="E27" s="37"/>
      <c r="F27" s="37"/>
    </row>
    <row r="28" spans="1:6" ht="12.75">
      <c r="A28" s="36" t="s">
        <v>100</v>
      </c>
      <c r="B28" s="37"/>
      <c r="C28" s="37"/>
      <c r="D28" s="37"/>
      <c r="E28" s="37"/>
      <c r="F28" s="37"/>
    </row>
    <row r="29" spans="1:6" ht="12.75">
      <c r="A29" s="36" t="s">
        <v>101</v>
      </c>
      <c r="B29" s="37"/>
      <c r="C29" s="37"/>
      <c r="D29" s="37"/>
      <c r="E29" s="37"/>
      <c r="F29" s="37"/>
    </row>
  </sheetData>
  <sheetProtection sheet="1" objects="1" scenarios="1"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zoomScalePageLayoutView="0" workbookViewId="0" topLeftCell="A1">
      <selection activeCell="C4" sqref="C3:C4"/>
    </sheetView>
  </sheetViews>
  <sheetFormatPr defaultColWidth="9.140625" defaultRowHeight="12.75"/>
  <cols>
    <col min="1" max="1" width="30.7109375" style="13" customWidth="1"/>
    <col min="2" max="2" width="5.7109375" style="13" customWidth="1"/>
    <col min="3" max="8" width="10.7109375" style="55" customWidth="1"/>
    <col min="9" max="16384" width="9.140625" style="13" customWidth="1"/>
  </cols>
  <sheetData>
    <row r="1" spans="1:9" ht="12.75">
      <c r="A1" s="15" t="s">
        <v>73</v>
      </c>
      <c r="B1" s="15"/>
      <c r="C1" s="38"/>
      <c r="D1" s="38"/>
      <c r="E1" s="38"/>
      <c r="F1" s="38"/>
      <c r="G1" s="38"/>
      <c r="H1" s="38"/>
      <c r="I1" s="110"/>
    </row>
    <row r="2" spans="1:8" ht="12.75">
      <c r="A2" s="15"/>
      <c r="B2" s="15"/>
      <c r="C2" s="38"/>
      <c r="D2" s="38"/>
      <c r="E2" s="38"/>
      <c r="F2" s="38"/>
      <c r="G2" s="38"/>
      <c r="H2" s="38"/>
    </row>
    <row r="3" spans="1:9" ht="12.75">
      <c r="A3" s="13" t="s">
        <v>74</v>
      </c>
      <c r="B3" s="14" t="s">
        <v>75</v>
      </c>
      <c r="C3" s="364">
        <v>25.478884659680727</v>
      </c>
      <c r="D3" s="38"/>
      <c r="E3" s="38"/>
      <c r="F3" s="38"/>
      <c r="G3" s="38"/>
      <c r="H3" s="38"/>
      <c r="I3" s="110"/>
    </row>
    <row r="4" spans="1:8" ht="12.75">
      <c r="A4" s="15"/>
      <c r="B4" s="14" t="s">
        <v>76</v>
      </c>
      <c r="C4" s="364">
        <v>33.23968248229844</v>
      </c>
      <c r="D4" s="38"/>
      <c r="E4" s="38"/>
      <c r="F4" s="38"/>
      <c r="G4" s="38"/>
      <c r="H4" s="38"/>
    </row>
    <row r="5" spans="1:8" ht="12.75">
      <c r="A5" s="15"/>
      <c r="B5" s="15"/>
      <c r="C5" s="38"/>
      <c r="D5" s="38"/>
      <c r="E5" s="38"/>
      <c r="F5" s="38"/>
      <c r="G5" s="38"/>
      <c r="H5" s="38"/>
    </row>
    <row r="6" spans="1:8" ht="12.75">
      <c r="A6" s="15"/>
      <c r="B6" s="15"/>
      <c r="C6" s="38"/>
      <c r="D6" s="38"/>
      <c r="E6" s="38"/>
      <c r="F6" s="38"/>
      <c r="G6" s="38"/>
      <c r="H6" s="38"/>
    </row>
    <row r="7" spans="1:8" ht="12.75">
      <c r="A7" s="16" t="s">
        <v>102</v>
      </c>
      <c r="B7" s="16"/>
      <c r="C7" s="39" t="s">
        <v>78</v>
      </c>
      <c r="D7" s="39" t="s">
        <v>78</v>
      </c>
      <c r="E7" s="39" t="s">
        <v>78</v>
      </c>
      <c r="F7" s="39" t="s">
        <v>78</v>
      </c>
      <c r="G7" s="39" t="s">
        <v>78</v>
      </c>
      <c r="H7" s="39" t="s">
        <v>78</v>
      </c>
    </row>
    <row r="8" spans="1:8" ht="12.75">
      <c r="A8" s="40" t="s">
        <v>103</v>
      </c>
      <c r="B8" s="17"/>
      <c r="C8" s="41" t="s">
        <v>80</v>
      </c>
      <c r="D8" s="41" t="s">
        <v>80</v>
      </c>
      <c r="E8" s="41" t="s">
        <v>80</v>
      </c>
      <c r="F8" s="41" t="s">
        <v>80</v>
      </c>
      <c r="G8" s="41" t="s">
        <v>80</v>
      </c>
      <c r="H8" s="41" t="s">
        <v>80</v>
      </c>
    </row>
    <row r="9" spans="1:8" ht="12.75">
      <c r="A9" s="42" t="s">
        <v>104</v>
      </c>
      <c r="B9" s="22"/>
      <c r="C9" s="43" t="s">
        <v>82</v>
      </c>
      <c r="D9" s="43" t="s">
        <v>83</v>
      </c>
      <c r="E9" s="43" t="s">
        <v>84</v>
      </c>
      <c r="F9" s="43" t="s">
        <v>85</v>
      </c>
      <c r="G9" s="43" t="s">
        <v>86</v>
      </c>
      <c r="H9" s="43" t="s">
        <v>105</v>
      </c>
    </row>
    <row r="10" spans="1:8" ht="12.75">
      <c r="A10" s="42" t="s">
        <v>106</v>
      </c>
      <c r="B10" s="22"/>
      <c r="C10" s="43"/>
      <c r="D10" s="43"/>
      <c r="E10" s="43"/>
      <c r="F10" s="43"/>
      <c r="G10" s="43"/>
      <c r="H10" s="43"/>
    </row>
    <row r="11" spans="1:8" ht="12.75">
      <c r="A11" s="42" t="s">
        <v>107</v>
      </c>
      <c r="B11" s="22"/>
      <c r="C11" s="43"/>
      <c r="D11" s="43"/>
      <c r="E11" s="43"/>
      <c r="F11" s="43"/>
      <c r="G11" s="43"/>
      <c r="H11" s="43"/>
    </row>
    <row r="12" spans="1:8" ht="12.75">
      <c r="A12" s="42" t="s">
        <v>108</v>
      </c>
      <c r="B12" s="22"/>
      <c r="C12" s="43"/>
      <c r="D12" s="43"/>
      <c r="E12" s="43"/>
      <c r="F12" s="43"/>
      <c r="G12" s="43"/>
      <c r="H12" s="43"/>
    </row>
    <row r="13" spans="1:8" ht="12.75">
      <c r="A13" s="42" t="s">
        <v>109</v>
      </c>
      <c r="B13" s="22"/>
      <c r="C13" s="43"/>
      <c r="D13" s="43"/>
      <c r="E13" s="43"/>
      <c r="F13" s="43"/>
      <c r="G13" s="43"/>
      <c r="H13" s="43"/>
    </row>
    <row r="14" spans="1:8" ht="12.75">
      <c r="A14" s="42" t="s">
        <v>110</v>
      </c>
      <c r="B14" s="22"/>
      <c r="C14" s="43"/>
      <c r="D14" s="43"/>
      <c r="E14" s="43"/>
      <c r="F14" s="43"/>
      <c r="G14" s="43"/>
      <c r="H14" s="43"/>
    </row>
    <row r="15" spans="1:8" ht="12.75">
      <c r="A15" s="42" t="s">
        <v>111</v>
      </c>
      <c r="B15" s="22"/>
      <c r="C15" s="43"/>
      <c r="D15" s="43"/>
      <c r="E15" s="43"/>
      <c r="F15" s="43"/>
      <c r="G15" s="43"/>
      <c r="H15" s="43"/>
    </row>
    <row r="16" spans="1:8" ht="12.75">
      <c r="A16" s="42" t="s">
        <v>112</v>
      </c>
      <c r="B16" s="22"/>
      <c r="C16" s="43"/>
      <c r="D16" s="43"/>
      <c r="E16" s="43"/>
      <c r="F16" s="43"/>
      <c r="G16" s="43"/>
      <c r="H16" s="43"/>
    </row>
    <row r="17" spans="1:8" ht="12.75">
      <c r="A17" s="42" t="s">
        <v>113</v>
      </c>
      <c r="B17" s="22"/>
      <c r="C17" s="43"/>
      <c r="D17" s="43"/>
      <c r="E17" s="43"/>
      <c r="F17" s="43"/>
      <c r="G17" s="43"/>
      <c r="H17" s="43"/>
    </row>
    <row r="18" spans="1:8" ht="12.75">
      <c r="A18" s="42" t="s">
        <v>114</v>
      </c>
      <c r="B18" s="22"/>
      <c r="C18" s="43"/>
      <c r="D18" s="43"/>
      <c r="E18" s="43"/>
      <c r="F18" s="43"/>
      <c r="G18" s="43"/>
      <c r="H18" s="43"/>
    </row>
    <row r="19" spans="1:8" ht="12.75">
      <c r="A19" s="17" t="s">
        <v>87</v>
      </c>
      <c r="B19" s="17"/>
      <c r="C19" s="44"/>
      <c r="D19" s="44"/>
      <c r="E19" s="44"/>
      <c r="F19" s="44"/>
      <c r="G19" s="44"/>
      <c r="H19" s="44"/>
    </row>
    <row r="20" spans="1:8" ht="12.75">
      <c r="A20" s="42" t="s">
        <v>103</v>
      </c>
      <c r="B20" s="22"/>
      <c r="C20" s="45"/>
      <c r="D20" s="45"/>
      <c r="E20" s="45"/>
      <c r="F20" s="45"/>
      <c r="G20" s="45"/>
      <c r="H20" s="45"/>
    </row>
    <row r="21" spans="1:8" ht="12.75">
      <c r="A21" s="42" t="s">
        <v>104</v>
      </c>
      <c r="B21" s="22"/>
      <c r="C21" s="45"/>
      <c r="D21" s="45"/>
      <c r="E21" s="45"/>
      <c r="F21" s="45"/>
      <c r="G21" s="45"/>
      <c r="H21" s="45"/>
    </row>
    <row r="22" spans="1:8" ht="12.75">
      <c r="A22" s="42" t="s">
        <v>106</v>
      </c>
      <c r="B22" s="22"/>
      <c r="C22" s="45"/>
      <c r="D22" s="45"/>
      <c r="E22" s="45"/>
      <c r="F22" s="45"/>
      <c r="G22" s="45"/>
      <c r="H22" s="45"/>
    </row>
    <row r="23" spans="1:8" ht="12.75">
      <c r="A23" s="42" t="s">
        <v>107</v>
      </c>
      <c r="B23" s="22"/>
      <c r="C23" s="45"/>
      <c r="D23" s="45"/>
      <c r="E23" s="45"/>
      <c r="F23" s="45"/>
      <c r="G23" s="45"/>
      <c r="H23" s="45"/>
    </row>
    <row r="24" spans="1:8" ht="12.75">
      <c r="A24" s="42" t="s">
        <v>108</v>
      </c>
      <c r="B24" s="22"/>
      <c r="C24" s="45"/>
      <c r="D24" s="45"/>
      <c r="E24" s="45"/>
      <c r="F24" s="45"/>
      <c r="G24" s="45"/>
      <c r="H24" s="45"/>
    </row>
    <row r="25" spans="1:8" ht="12.75">
      <c r="A25" s="42" t="s">
        <v>109</v>
      </c>
      <c r="B25" s="22"/>
      <c r="C25" s="45"/>
      <c r="D25" s="45"/>
      <c r="E25" s="45"/>
      <c r="F25" s="45"/>
      <c r="G25" s="45"/>
      <c r="H25" s="45"/>
    </row>
    <row r="26" spans="1:8" ht="12.75">
      <c r="A26" s="42" t="s">
        <v>110</v>
      </c>
      <c r="B26" s="22"/>
      <c r="C26" s="45"/>
      <c r="D26" s="45"/>
      <c r="E26" s="45"/>
      <c r="F26" s="45"/>
      <c r="G26" s="45"/>
      <c r="H26" s="45"/>
    </row>
    <row r="27" spans="1:8" ht="12.75">
      <c r="A27" s="42" t="s">
        <v>111</v>
      </c>
      <c r="B27" s="22"/>
      <c r="C27" s="45"/>
      <c r="D27" s="45"/>
      <c r="E27" s="45"/>
      <c r="F27" s="45"/>
      <c r="G27" s="45"/>
      <c r="H27" s="45"/>
    </row>
    <row r="28" spans="1:8" ht="12.75">
      <c r="A28" s="42" t="s">
        <v>112</v>
      </c>
      <c r="B28" s="22"/>
      <c r="C28" s="45"/>
      <c r="D28" s="45"/>
      <c r="E28" s="45"/>
      <c r="F28" s="45"/>
      <c r="G28" s="45"/>
      <c r="H28" s="45"/>
    </row>
    <row r="29" spans="1:8" ht="12.75">
      <c r="A29" s="42" t="s">
        <v>113</v>
      </c>
      <c r="B29" s="22"/>
      <c r="C29" s="45"/>
      <c r="D29" s="45"/>
      <c r="E29" s="45"/>
      <c r="F29" s="45"/>
      <c r="G29" s="45"/>
      <c r="H29" s="45"/>
    </row>
    <row r="30" spans="1:8" ht="12.75">
      <c r="A30" s="42" t="s">
        <v>114</v>
      </c>
      <c r="B30" s="22" t="s">
        <v>75</v>
      </c>
      <c r="C30" s="39">
        <v>25.478884659680727</v>
      </c>
      <c r="D30" s="39">
        <v>25.478884659680727</v>
      </c>
      <c r="E30" s="39">
        <v>25.478884659680727</v>
      </c>
      <c r="F30" s="39">
        <v>25.478884659680727</v>
      </c>
      <c r="G30" s="39"/>
      <c r="H30" s="39">
        <v>25.478884659680727</v>
      </c>
    </row>
    <row r="31" spans="1:8" ht="12.75">
      <c r="A31" s="46"/>
      <c r="B31" s="19" t="s">
        <v>76</v>
      </c>
      <c r="C31" s="39">
        <v>33.23968248229844</v>
      </c>
      <c r="D31" s="39">
        <v>33.23968248229844</v>
      </c>
      <c r="E31" s="39">
        <v>33.23968248229844</v>
      </c>
      <c r="F31" s="39">
        <v>33.23968248229844</v>
      </c>
      <c r="G31" s="39"/>
      <c r="H31" s="39">
        <v>33.23968248229844</v>
      </c>
    </row>
    <row r="32" spans="1:8" ht="12.75">
      <c r="A32" s="22" t="s">
        <v>87</v>
      </c>
      <c r="B32" s="22" t="s">
        <v>75</v>
      </c>
      <c r="C32" s="39">
        <v>8.434257619030404</v>
      </c>
      <c r="D32" s="39">
        <v>8.434257619030404</v>
      </c>
      <c r="E32" s="39">
        <v>8.434257619030404</v>
      </c>
      <c r="F32" s="39">
        <v>8.434257619030404</v>
      </c>
      <c r="G32" s="39"/>
      <c r="H32" s="39">
        <v>8.434257619030404</v>
      </c>
    </row>
    <row r="33" spans="1:8" ht="12.75">
      <c r="A33" s="49" t="s">
        <v>115</v>
      </c>
      <c r="B33" s="19" t="s">
        <v>76</v>
      </c>
      <c r="C33" s="39">
        <v>1.3179980064763694</v>
      </c>
      <c r="D33" s="39">
        <v>1.3179980064763694</v>
      </c>
      <c r="E33" s="39">
        <v>1.3179980064763694</v>
      </c>
      <c r="F33" s="39">
        <v>1.3179980064763694</v>
      </c>
      <c r="G33" s="39"/>
      <c r="H33" s="39">
        <v>1.3179980064763694</v>
      </c>
    </row>
    <row r="34" spans="1:8" ht="12.75">
      <c r="A34" s="17" t="s">
        <v>116</v>
      </c>
      <c r="B34" s="17"/>
      <c r="C34" s="39"/>
      <c r="D34" s="39"/>
      <c r="E34" s="39"/>
      <c r="F34" s="39"/>
      <c r="G34" s="39"/>
      <c r="H34" s="39"/>
    </row>
    <row r="35" spans="1:8" ht="12.75">
      <c r="A35" s="42" t="s">
        <v>103</v>
      </c>
      <c r="B35" s="22"/>
      <c r="C35" s="39"/>
      <c r="D35" s="39"/>
      <c r="E35" s="39"/>
      <c r="F35" s="39"/>
      <c r="G35" s="39"/>
      <c r="H35" s="39"/>
    </row>
    <row r="36" spans="1:8" ht="12.75">
      <c r="A36" s="42" t="s">
        <v>104</v>
      </c>
      <c r="B36" s="22"/>
      <c r="C36" s="39"/>
      <c r="D36" s="39"/>
      <c r="E36" s="39"/>
      <c r="F36" s="39"/>
      <c r="G36" s="39"/>
      <c r="H36" s="39"/>
    </row>
    <row r="37" spans="1:8" ht="12.75">
      <c r="A37" s="42" t="s">
        <v>106</v>
      </c>
      <c r="B37" s="22"/>
      <c r="C37" s="39"/>
      <c r="D37" s="39"/>
      <c r="E37" s="39"/>
      <c r="F37" s="39"/>
      <c r="G37" s="39"/>
      <c r="H37" s="39"/>
    </row>
    <row r="38" spans="1:8" ht="12.75">
      <c r="A38" s="42" t="s">
        <v>107</v>
      </c>
      <c r="B38" s="22"/>
      <c r="C38" s="39"/>
      <c r="D38" s="39"/>
      <c r="E38" s="39"/>
      <c r="F38" s="39"/>
      <c r="G38" s="39"/>
      <c r="H38" s="39"/>
    </row>
    <row r="39" spans="1:8" ht="12.75">
      <c r="A39" s="42" t="s">
        <v>108</v>
      </c>
      <c r="B39" s="22"/>
      <c r="C39" s="39"/>
      <c r="D39" s="39"/>
      <c r="E39" s="39"/>
      <c r="F39" s="39"/>
      <c r="G39" s="39"/>
      <c r="H39" s="39"/>
    </row>
    <row r="40" spans="1:8" ht="12.75">
      <c r="A40" s="42" t="s">
        <v>109</v>
      </c>
      <c r="B40" s="22"/>
      <c r="C40" s="39"/>
      <c r="D40" s="39"/>
      <c r="E40" s="39"/>
      <c r="F40" s="39"/>
      <c r="G40" s="39"/>
      <c r="H40" s="39"/>
    </row>
    <row r="41" spans="1:8" ht="12.75">
      <c r="A41" s="42" t="s">
        <v>110</v>
      </c>
      <c r="B41" s="22"/>
      <c r="C41" s="39"/>
      <c r="D41" s="39"/>
      <c r="E41" s="39"/>
      <c r="F41" s="39"/>
      <c r="G41" s="39"/>
      <c r="H41" s="39"/>
    </row>
    <row r="42" spans="1:8" ht="12.75">
      <c r="A42" s="42" t="s">
        <v>111</v>
      </c>
      <c r="B42" s="22"/>
      <c r="C42" s="39"/>
      <c r="D42" s="39"/>
      <c r="E42" s="39"/>
      <c r="F42" s="39"/>
      <c r="G42" s="39"/>
      <c r="H42" s="39"/>
    </row>
    <row r="43" spans="1:8" ht="12.75">
      <c r="A43" s="42" t="s">
        <v>112</v>
      </c>
      <c r="B43" s="22"/>
      <c r="C43" s="39"/>
      <c r="D43" s="39"/>
      <c r="E43" s="39"/>
      <c r="F43" s="39"/>
      <c r="G43" s="39"/>
      <c r="H43" s="39"/>
    </row>
    <row r="44" spans="1:8" ht="12.75">
      <c r="A44" s="42" t="s">
        <v>113</v>
      </c>
      <c r="B44" s="22"/>
      <c r="C44" s="39"/>
      <c r="D44" s="39"/>
      <c r="E44" s="39"/>
      <c r="F44" s="39"/>
      <c r="G44" s="39"/>
      <c r="H44" s="39"/>
    </row>
    <row r="45" spans="1:8" ht="12.75">
      <c r="A45" s="42" t="s">
        <v>114</v>
      </c>
      <c r="B45" s="22" t="s">
        <v>75</v>
      </c>
      <c r="C45" s="39">
        <v>25.478884659680727</v>
      </c>
      <c r="D45" s="39">
        <v>25.478884659680727</v>
      </c>
      <c r="E45" s="39">
        <v>25.478884659680727</v>
      </c>
      <c r="F45" s="39">
        <v>25.478884659680727</v>
      </c>
      <c r="G45" s="39">
        <v>25.478884659680727</v>
      </c>
      <c r="H45" s="39">
        <v>25.478884659680727</v>
      </c>
    </row>
    <row r="46" spans="1:8" ht="12.75">
      <c r="A46" s="46"/>
      <c r="B46" s="19" t="s">
        <v>76</v>
      </c>
      <c r="C46" s="39">
        <v>33.23968248229844</v>
      </c>
      <c r="D46" s="39">
        <v>33.23968248229844</v>
      </c>
      <c r="E46" s="39">
        <v>33.23968248229844</v>
      </c>
      <c r="F46" s="39">
        <v>33.23968248229844</v>
      </c>
      <c r="G46" s="39">
        <v>33.23968248229844</v>
      </c>
      <c r="H46" s="39">
        <v>33.23968248229844</v>
      </c>
    </row>
    <row r="47" spans="1:8" ht="12.75">
      <c r="A47" s="17" t="s">
        <v>116</v>
      </c>
      <c r="B47" s="22" t="s">
        <v>75</v>
      </c>
      <c r="C47" s="39">
        <v>6.746476472805962</v>
      </c>
      <c r="D47" s="39">
        <v>6.746476472805962</v>
      </c>
      <c r="E47" s="39">
        <v>6.746476472805962</v>
      </c>
      <c r="F47" s="39">
        <v>6.746476472805962</v>
      </c>
      <c r="G47" s="39">
        <v>6.746476472805962</v>
      </c>
      <c r="H47" s="39">
        <v>6.746476472805962</v>
      </c>
    </row>
    <row r="48" spans="1:8" ht="12.75">
      <c r="A48" s="49" t="s">
        <v>115</v>
      </c>
      <c r="B48" s="19" t="s">
        <v>76</v>
      </c>
      <c r="C48" s="39">
        <v>1.054088531041642</v>
      </c>
      <c r="D48" s="39">
        <v>1.054088531041642</v>
      </c>
      <c r="E48" s="39">
        <v>1.054088531041642</v>
      </c>
      <c r="F48" s="39">
        <v>1.054088531041642</v>
      </c>
      <c r="G48" s="39">
        <v>1.054088531041642</v>
      </c>
      <c r="H48" s="39">
        <v>1.054088531041642</v>
      </c>
    </row>
    <row r="49" spans="1:8" ht="12.75">
      <c r="A49" s="17" t="s">
        <v>117</v>
      </c>
      <c r="B49" s="17"/>
      <c r="C49" s="39"/>
      <c r="D49" s="39"/>
      <c r="E49" s="39"/>
      <c r="F49" s="39"/>
      <c r="G49" s="39"/>
      <c r="H49" s="39"/>
    </row>
    <row r="50" spans="1:8" ht="12.75">
      <c r="A50" s="42" t="s">
        <v>103</v>
      </c>
      <c r="B50" s="22"/>
      <c r="C50" s="39"/>
      <c r="D50" s="39"/>
      <c r="E50" s="39"/>
      <c r="F50" s="39"/>
      <c r="G50" s="39"/>
      <c r="H50" s="39"/>
    </row>
    <row r="51" spans="1:8" ht="12.75">
      <c r="A51" s="42" t="s">
        <v>104</v>
      </c>
      <c r="B51" s="22"/>
      <c r="C51" s="39"/>
      <c r="D51" s="39"/>
      <c r="E51" s="39"/>
      <c r="F51" s="39"/>
      <c r="G51" s="39"/>
      <c r="H51" s="39"/>
    </row>
    <row r="52" spans="1:8" ht="12.75">
      <c r="A52" s="42" t="s">
        <v>106</v>
      </c>
      <c r="B52" s="22"/>
      <c r="C52" s="39"/>
      <c r="D52" s="39"/>
      <c r="E52" s="39"/>
      <c r="F52" s="39"/>
      <c r="G52" s="39"/>
      <c r="H52" s="39"/>
    </row>
    <row r="53" spans="1:8" ht="12.75">
      <c r="A53" s="42" t="s">
        <v>107</v>
      </c>
      <c r="B53" s="22"/>
      <c r="C53" s="39"/>
      <c r="D53" s="39"/>
      <c r="E53" s="39"/>
      <c r="F53" s="39"/>
      <c r="G53" s="39"/>
      <c r="H53" s="39"/>
    </row>
    <row r="54" spans="1:8" ht="12.75">
      <c r="A54" s="42" t="s">
        <v>108</v>
      </c>
      <c r="B54" s="22"/>
      <c r="C54" s="39"/>
      <c r="D54" s="39"/>
      <c r="E54" s="39"/>
      <c r="F54" s="39"/>
      <c r="G54" s="39"/>
      <c r="H54" s="39"/>
    </row>
    <row r="55" spans="1:8" ht="12.75">
      <c r="A55" s="42" t="s">
        <v>109</v>
      </c>
      <c r="B55" s="22"/>
      <c r="C55" s="39"/>
      <c r="D55" s="39"/>
      <c r="E55" s="39"/>
      <c r="F55" s="39"/>
      <c r="G55" s="39"/>
      <c r="H55" s="39"/>
    </row>
    <row r="56" spans="1:8" ht="12.75">
      <c r="A56" s="42" t="s">
        <v>110</v>
      </c>
      <c r="B56" s="22"/>
      <c r="C56" s="39"/>
      <c r="D56" s="39"/>
      <c r="E56" s="39"/>
      <c r="F56" s="39"/>
      <c r="G56" s="39"/>
      <c r="H56" s="39"/>
    </row>
    <row r="57" spans="1:8" ht="12.75">
      <c r="A57" s="42" t="s">
        <v>111</v>
      </c>
      <c r="B57" s="22"/>
      <c r="C57" s="39"/>
      <c r="D57" s="39"/>
      <c r="E57" s="39"/>
      <c r="F57" s="39"/>
      <c r="G57" s="39"/>
      <c r="H57" s="39"/>
    </row>
    <row r="58" spans="1:8" ht="12.75">
      <c r="A58" s="42" t="s">
        <v>112</v>
      </c>
      <c r="B58" s="22"/>
      <c r="C58" s="39"/>
      <c r="D58" s="39"/>
      <c r="E58" s="39"/>
      <c r="F58" s="39"/>
      <c r="G58" s="39"/>
      <c r="H58" s="39"/>
    </row>
    <row r="59" spans="1:8" ht="12.75">
      <c r="A59" s="42" t="s">
        <v>113</v>
      </c>
      <c r="B59" s="22"/>
      <c r="C59" s="39"/>
      <c r="D59" s="39"/>
      <c r="E59" s="39"/>
      <c r="F59" s="39"/>
      <c r="G59" s="39"/>
      <c r="H59" s="39"/>
    </row>
    <row r="60" spans="1:8" ht="12.75">
      <c r="A60" s="42" t="s">
        <v>114</v>
      </c>
      <c r="B60" s="22" t="s">
        <v>75</v>
      </c>
      <c r="C60" s="39">
        <v>10.191760446631926</v>
      </c>
      <c r="D60" s="39">
        <v>10.191760446631926</v>
      </c>
      <c r="E60" s="39">
        <v>10.191760446631926</v>
      </c>
      <c r="F60" s="39">
        <v>10.191760446631926</v>
      </c>
      <c r="G60" s="39">
        <v>10.191760446631926</v>
      </c>
      <c r="H60" s="39">
        <v>10.191760446631926</v>
      </c>
    </row>
    <row r="61" spans="1:8" ht="12.75">
      <c r="A61" s="46"/>
      <c r="B61" s="19" t="s">
        <v>76</v>
      </c>
      <c r="C61" s="39">
        <v>13.29618286705883</v>
      </c>
      <c r="D61" s="39">
        <v>13.29618286705883</v>
      </c>
      <c r="E61" s="39">
        <v>13.29618286705883</v>
      </c>
      <c r="F61" s="39">
        <v>13.29618286705883</v>
      </c>
      <c r="G61" s="39">
        <v>13.29618286705883</v>
      </c>
      <c r="H61" s="39">
        <v>13.29618286705883</v>
      </c>
    </row>
    <row r="62" spans="1:8" ht="12.75">
      <c r="A62" s="17" t="s">
        <v>117</v>
      </c>
      <c r="B62" s="22" t="s">
        <v>75</v>
      </c>
      <c r="C62" s="39">
        <v>4.2173870379647465</v>
      </c>
      <c r="D62" s="39">
        <v>4.2173870379647465</v>
      </c>
      <c r="E62" s="39">
        <v>4.2173870379647465</v>
      </c>
      <c r="F62" s="39">
        <v>4.2173870379647465</v>
      </c>
      <c r="G62" s="39">
        <v>4.2173870379647465</v>
      </c>
      <c r="H62" s="39">
        <v>4.2173870379647465</v>
      </c>
    </row>
    <row r="63" spans="1:8" ht="12.75">
      <c r="A63" s="49" t="s">
        <v>115</v>
      </c>
      <c r="B63" s="19" t="s">
        <v>76</v>
      </c>
      <c r="C63" s="39">
        <v>0.6584825463390953</v>
      </c>
      <c r="D63" s="39">
        <v>0.6584825463390953</v>
      </c>
      <c r="E63" s="39">
        <v>0.6584825463390953</v>
      </c>
      <c r="F63" s="39">
        <v>0.6584825463390953</v>
      </c>
      <c r="G63" s="39">
        <v>0.6584825463390953</v>
      </c>
      <c r="H63" s="39">
        <v>0.6584825463390953</v>
      </c>
    </row>
    <row r="64" spans="1:8" ht="12.75">
      <c r="A64" s="40" t="s">
        <v>118</v>
      </c>
      <c r="B64" s="22" t="s">
        <v>75</v>
      </c>
      <c r="C64" s="39">
        <v>0.2551297081502063</v>
      </c>
      <c r="D64" s="39">
        <v>0.2551297081502063</v>
      </c>
      <c r="E64" s="39">
        <v>0.2551297081502063</v>
      </c>
      <c r="F64" s="39">
        <v>0.2551297081502063</v>
      </c>
      <c r="G64" s="39">
        <v>0.2551297081502063</v>
      </c>
      <c r="H64" s="39">
        <v>0.2551297081502063</v>
      </c>
    </row>
    <row r="65" spans="1:8" ht="12.75">
      <c r="A65" s="46" t="s">
        <v>119</v>
      </c>
      <c r="B65" s="19" t="s">
        <v>76</v>
      </c>
      <c r="C65" s="39">
        <v>0.16629912150681464</v>
      </c>
      <c r="D65" s="39">
        <v>0.16629912150681464</v>
      </c>
      <c r="E65" s="39">
        <v>0.16629912150681464</v>
      </c>
      <c r="F65" s="39">
        <v>0.16629912150681464</v>
      </c>
      <c r="G65" s="39">
        <v>0.16629912150681464</v>
      </c>
      <c r="H65" s="39">
        <v>0.16629912150681464</v>
      </c>
    </row>
    <row r="66" spans="1:8" ht="12.75">
      <c r="A66" s="40" t="s">
        <v>120</v>
      </c>
      <c r="B66" s="22" t="s">
        <v>75</v>
      </c>
      <c r="C66" s="50"/>
      <c r="D66" s="50"/>
      <c r="E66" s="50"/>
      <c r="F66" s="50"/>
      <c r="G66" s="50"/>
      <c r="H66" s="52"/>
    </row>
    <row r="67" spans="1:8" ht="12.75">
      <c r="A67" s="46" t="s">
        <v>121</v>
      </c>
      <c r="B67" s="19" t="s">
        <v>76</v>
      </c>
      <c r="C67" s="53"/>
      <c r="D67" s="53"/>
      <c r="E67" s="53"/>
      <c r="F67" s="53"/>
      <c r="G67" s="53"/>
      <c r="H67" s="47"/>
    </row>
    <row r="69" ht="12.75">
      <c r="A69" s="35" t="s">
        <v>122</v>
      </c>
    </row>
    <row r="70" ht="12.75">
      <c r="A70" s="35" t="s">
        <v>123</v>
      </c>
    </row>
    <row r="71" ht="12.75">
      <c r="A71" s="35" t="s">
        <v>124</v>
      </c>
    </row>
    <row r="72" ht="12.75">
      <c r="A72" s="35" t="s">
        <v>125</v>
      </c>
    </row>
  </sheetData>
  <sheetProtection sheet="1" objects="1" scenarios="1"/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">
      <selection activeCell="C4" activeCellId="1" sqref="C3 C4"/>
    </sheetView>
  </sheetViews>
  <sheetFormatPr defaultColWidth="9.140625" defaultRowHeight="12.75"/>
  <cols>
    <col min="1" max="1" width="30.7109375" style="13" customWidth="1"/>
    <col min="2" max="2" width="5.7109375" style="13" customWidth="1"/>
    <col min="3" max="8" width="10.7109375" style="55" customWidth="1"/>
    <col min="9" max="16384" width="9.140625" style="13" customWidth="1"/>
  </cols>
  <sheetData>
    <row r="1" spans="1:9" ht="12.75">
      <c r="A1" s="15" t="s">
        <v>73</v>
      </c>
      <c r="B1" s="15"/>
      <c r="C1" s="38"/>
      <c r="D1" s="38"/>
      <c r="E1" s="38"/>
      <c r="F1" s="38"/>
      <c r="G1" s="38"/>
      <c r="H1" s="38"/>
      <c r="I1" s="110"/>
    </row>
    <row r="2" spans="1:8" ht="12.75">
      <c r="A2" s="15"/>
      <c r="B2" s="15"/>
      <c r="C2" s="38"/>
      <c r="D2" s="38"/>
      <c r="E2" s="38"/>
      <c r="F2" s="38"/>
      <c r="G2" s="38"/>
      <c r="H2" s="38"/>
    </row>
    <row r="3" spans="1:9" ht="12.75">
      <c r="A3" s="15"/>
      <c r="B3" s="14" t="s">
        <v>75</v>
      </c>
      <c r="C3" s="301"/>
      <c r="D3" s="38"/>
      <c r="E3" s="38"/>
      <c r="F3" s="38"/>
      <c r="G3" s="38"/>
      <c r="H3" s="38"/>
      <c r="I3" s="110"/>
    </row>
    <row r="4" spans="1:8" ht="12.75">
      <c r="A4" s="15"/>
      <c r="B4" s="14" t="s">
        <v>76</v>
      </c>
      <c r="C4" s="301"/>
      <c r="D4" s="38"/>
      <c r="E4" s="38"/>
      <c r="F4" s="38"/>
      <c r="G4" s="38"/>
      <c r="H4" s="38"/>
    </row>
    <row r="5" spans="1:8" ht="12.75">
      <c r="A5" s="15"/>
      <c r="B5" s="15"/>
      <c r="C5" s="38"/>
      <c r="D5" s="38"/>
      <c r="E5" s="38"/>
      <c r="F5" s="38"/>
      <c r="G5" s="38"/>
      <c r="H5" s="38"/>
    </row>
    <row r="6" spans="1:8" ht="12.75">
      <c r="A6" s="16" t="s">
        <v>186</v>
      </c>
      <c r="B6" s="16"/>
      <c r="C6" s="39" t="s">
        <v>78</v>
      </c>
      <c r="D6" s="39" t="s">
        <v>78</v>
      </c>
      <c r="E6" s="39" t="s">
        <v>78</v>
      </c>
      <c r="F6" s="39" t="s">
        <v>78</v>
      </c>
      <c r="G6" s="39" t="s">
        <v>78</v>
      </c>
      <c r="H6" s="39" t="s">
        <v>78</v>
      </c>
    </row>
    <row r="7" spans="1:8" ht="12.75">
      <c r="A7" s="40" t="s">
        <v>187</v>
      </c>
      <c r="B7" s="17"/>
      <c r="C7" s="41" t="s">
        <v>80</v>
      </c>
      <c r="D7" s="41" t="s">
        <v>80</v>
      </c>
      <c r="E7" s="41" t="s">
        <v>80</v>
      </c>
      <c r="F7" s="41" t="s">
        <v>80</v>
      </c>
      <c r="G7" s="41" t="s">
        <v>80</v>
      </c>
      <c r="H7" s="41" t="s">
        <v>80</v>
      </c>
    </row>
    <row r="8" spans="1:8" ht="12.75">
      <c r="A8" s="42" t="s">
        <v>188</v>
      </c>
      <c r="B8" s="22"/>
      <c r="C8" s="43" t="s">
        <v>82</v>
      </c>
      <c r="D8" s="43" t="s">
        <v>83</v>
      </c>
      <c r="E8" s="43" t="s">
        <v>84</v>
      </c>
      <c r="F8" s="43" t="s">
        <v>85</v>
      </c>
      <c r="G8" s="43" t="s">
        <v>86</v>
      </c>
      <c r="H8" s="43" t="s">
        <v>105</v>
      </c>
    </row>
    <row r="9" spans="1:8" ht="12.75">
      <c r="A9" s="42" t="s">
        <v>189</v>
      </c>
      <c r="B9" s="22"/>
      <c r="C9" s="43"/>
      <c r="D9" s="43"/>
      <c r="E9" s="43"/>
      <c r="F9" s="43"/>
      <c r="G9" s="43"/>
      <c r="H9" s="43"/>
    </row>
    <row r="10" spans="1:8" ht="12.75">
      <c r="A10" s="42" t="s">
        <v>190</v>
      </c>
      <c r="B10" s="22"/>
      <c r="C10" s="43"/>
      <c r="D10" s="43"/>
      <c r="E10" s="43"/>
      <c r="F10" s="43"/>
      <c r="G10" s="43"/>
      <c r="H10" s="43"/>
    </row>
    <row r="11" spans="1:8" ht="12.75">
      <c r="A11" s="42" t="s">
        <v>191</v>
      </c>
      <c r="B11" s="22"/>
      <c r="C11" s="43"/>
      <c r="D11" s="43"/>
      <c r="E11" s="43"/>
      <c r="F11" s="43"/>
      <c r="G11" s="43"/>
      <c r="H11" s="43"/>
    </row>
    <row r="12" spans="1:8" ht="12.75">
      <c r="A12" s="42" t="s">
        <v>192</v>
      </c>
      <c r="B12" s="22"/>
      <c r="C12" s="43"/>
      <c r="D12" s="43"/>
      <c r="E12" s="43"/>
      <c r="F12" s="43"/>
      <c r="G12" s="43"/>
      <c r="H12" s="43"/>
    </row>
    <row r="13" spans="1:8" ht="12.75">
      <c r="A13" s="42" t="s">
        <v>193</v>
      </c>
      <c r="B13" s="22"/>
      <c r="C13" s="43"/>
      <c r="D13" s="43"/>
      <c r="E13" s="43"/>
      <c r="F13" s="43"/>
      <c r="G13" s="43"/>
      <c r="H13" s="43"/>
    </row>
    <row r="14" spans="1:8" ht="12.75">
      <c r="A14" s="17" t="s">
        <v>87</v>
      </c>
      <c r="B14" s="17"/>
      <c r="C14" s="139"/>
      <c r="D14" s="44"/>
      <c r="E14" s="44"/>
      <c r="F14" s="44"/>
      <c r="G14" s="44"/>
      <c r="H14" s="44"/>
    </row>
    <row r="15" spans="1:8" ht="12.75">
      <c r="A15" s="42" t="s">
        <v>187</v>
      </c>
      <c r="B15" s="22"/>
      <c r="C15" s="48"/>
      <c r="D15" s="45"/>
      <c r="E15" s="45"/>
      <c r="F15" s="45"/>
      <c r="G15" s="45"/>
      <c r="H15" s="45"/>
    </row>
    <row r="16" spans="1:8" ht="12.75">
      <c r="A16" s="42" t="s">
        <v>188</v>
      </c>
      <c r="B16" s="22"/>
      <c r="C16" s="48"/>
      <c r="D16" s="45"/>
      <c r="E16" s="45"/>
      <c r="F16" s="45"/>
      <c r="G16" s="45"/>
      <c r="H16" s="45"/>
    </row>
    <row r="17" spans="1:8" ht="12.75">
      <c r="A17" s="42" t="s">
        <v>189</v>
      </c>
      <c r="B17" s="22"/>
      <c r="C17" s="48"/>
      <c r="D17" s="45"/>
      <c r="E17" s="45"/>
      <c r="F17" s="45"/>
      <c r="G17" s="45"/>
      <c r="H17" s="45"/>
    </row>
    <row r="18" spans="1:8" ht="12.75">
      <c r="A18" s="42" t="s">
        <v>190</v>
      </c>
      <c r="B18" s="22"/>
      <c r="C18" s="48"/>
      <c r="D18" s="45"/>
      <c r="E18" s="45"/>
      <c r="F18" s="45"/>
      <c r="G18" s="45"/>
      <c r="H18" s="45"/>
    </row>
    <row r="19" spans="1:8" ht="12.75">
      <c r="A19" s="42" t="s">
        <v>191</v>
      </c>
      <c r="B19" s="22" t="s">
        <v>75</v>
      </c>
      <c r="C19" s="43">
        <v>8.434257619030404</v>
      </c>
      <c r="D19" s="43">
        <v>8.434257619030404</v>
      </c>
      <c r="E19" s="43">
        <v>8.434257619030404</v>
      </c>
      <c r="F19" s="43">
        <v>8.434257619030404</v>
      </c>
      <c r="G19" s="43">
        <v>8.434257619030404</v>
      </c>
      <c r="H19" s="43">
        <v>8.434257619030404</v>
      </c>
    </row>
    <row r="20" spans="1:8" ht="12.75">
      <c r="A20" s="42" t="s">
        <v>192</v>
      </c>
      <c r="B20" s="22" t="s">
        <v>76</v>
      </c>
      <c r="C20" s="43">
        <v>1.3179980064763694</v>
      </c>
      <c r="D20" s="43">
        <v>1.3179980064763694</v>
      </c>
      <c r="E20" s="43">
        <v>1.3179980064763694</v>
      </c>
      <c r="F20" s="43">
        <v>1.3179980064763694</v>
      </c>
      <c r="G20" s="43">
        <v>1.3179980064763694</v>
      </c>
      <c r="H20" s="43">
        <v>1.3179980064763694</v>
      </c>
    </row>
    <row r="21" spans="1:8" ht="12.75">
      <c r="A21" s="42" t="s">
        <v>193</v>
      </c>
      <c r="B21" s="22"/>
      <c r="C21" s="140" t="s">
        <v>130</v>
      </c>
      <c r="D21" s="140" t="s">
        <v>130</v>
      </c>
      <c r="E21" s="140" t="s">
        <v>130</v>
      </c>
      <c r="F21" s="140" t="s">
        <v>130</v>
      </c>
      <c r="G21" s="140" t="s">
        <v>130</v>
      </c>
      <c r="H21" s="140" t="s">
        <v>130</v>
      </c>
    </row>
    <row r="22" spans="1:8" ht="12.75">
      <c r="A22" s="17" t="s">
        <v>194</v>
      </c>
      <c r="B22" s="17"/>
      <c r="C22" s="41"/>
      <c r="D22" s="41"/>
      <c r="E22" s="41"/>
      <c r="F22" s="41"/>
      <c r="G22" s="41"/>
      <c r="H22" s="41"/>
    </row>
    <row r="23" spans="1:8" ht="12.75">
      <c r="A23" s="42" t="s">
        <v>187</v>
      </c>
      <c r="B23" s="22"/>
      <c r="C23" s="43"/>
      <c r="D23" s="43"/>
      <c r="E23" s="43"/>
      <c r="F23" s="43"/>
      <c r="G23" s="43"/>
      <c r="H23" s="43"/>
    </row>
    <row r="24" spans="1:8" ht="12.75">
      <c r="A24" s="42" t="s">
        <v>188</v>
      </c>
      <c r="B24" s="22"/>
      <c r="C24" s="43"/>
      <c r="D24" s="43"/>
      <c r="E24" s="43"/>
      <c r="F24" s="43"/>
      <c r="G24" s="43"/>
      <c r="H24" s="43"/>
    </row>
    <row r="25" spans="1:8" ht="12.75">
      <c r="A25" s="42" t="s">
        <v>189</v>
      </c>
      <c r="B25" s="22"/>
      <c r="C25" s="43"/>
      <c r="D25" s="43"/>
      <c r="E25" s="43"/>
      <c r="F25" s="43"/>
      <c r="G25" s="43"/>
      <c r="H25" s="43"/>
    </row>
    <row r="26" spans="1:8" ht="12.75">
      <c r="A26" s="42" t="s">
        <v>190</v>
      </c>
      <c r="B26" s="22"/>
      <c r="C26" s="43"/>
      <c r="D26" s="43"/>
      <c r="E26" s="43"/>
      <c r="F26" s="43"/>
      <c r="G26" s="43"/>
      <c r="H26" s="43"/>
    </row>
    <row r="27" spans="1:8" ht="12.75">
      <c r="A27" s="42" t="s">
        <v>191</v>
      </c>
      <c r="B27" s="22" t="s">
        <v>75</v>
      </c>
      <c r="C27" s="43">
        <v>4.2173870379647465</v>
      </c>
      <c r="D27" s="43">
        <v>4.2173870379647465</v>
      </c>
      <c r="E27" s="43">
        <v>4.2173870379647465</v>
      </c>
      <c r="F27" s="43">
        <v>4.2173870379647465</v>
      </c>
      <c r="G27" s="43">
        <v>4.2173870379647465</v>
      </c>
      <c r="H27" s="43">
        <v>4.2173870379647465</v>
      </c>
    </row>
    <row r="28" spans="1:8" ht="12.75">
      <c r="A28" s="42" t="s">
        <v>192</v>
      </c>
      <c r="B28" s="22" t="s">
        <v>76</v>
      </c>
      <c r="C28" s="43">
        <v>0.6589990032381847</v>
      </c>
      <c r="D28" s="43">
        <v>0.6589990032381847</v>
      </c>
      <c r="E28" s="43">
        <v>0.6589990032381847</v>
      </c>
      <c r="F28" s="43">
        <v>0.6589990032381847</v>
      </c>
      <c r="G28" s="43">
        <v>0.6589990032381847</v>
      </c>
      <c r="H28" s="43">
        <v>0.6589990032381847</v>
      </c>
    </row>
    <row r="29" spans="1:8" ht="12.75">
      <c r="A29" s="42" t="s">
        <v>193</v>
      </c>
      <c r="B29" s="22"/>
      <c r="C29" s="140" t="s">
        <v>130</v>
      </c>
      <c r="D29" s="140" t="s">
        <v>130</v>
      </c>
      <c r="E29" s="140" t="s">
        <v>130</v>
      </c>
      <c r="F29" s="140" t="s">
        <v>130</v>
      </c>
      <c r="G29" s="140" t="s">
        <v>130</v>
      </c>
      <c r="H29" s="140" t="s">
        <v>130</v>
      </c>
    </row>
    <row r="30" spans="1:8" ht="12.75">
      <c r="A30" s="17" t="s">
        <v>116</v>
      </c>
      <c r="B30" s="17"/>
      <c r="C30" s="41"/>
      <c r="D30" s="41"/>
      <c r="E30" s="41"/>
      <c r="F30" s="41"/>
      <c r="G30" s="41"/>
      <c r="H30" s="41"/>
    </row>
    <row r="31" spans="1:8" ht="12.75">
      <c r="A31" s="42" t="s">
        <v>187</v>
      </c>
      <c r="B31" s="22"/>
      <c r="C31" s="43"/>
      <c r="D31" s="43"/>
      <c r="E31" s="43"/>
      <c r="F31" s="43"/>
      <c r="G31" s="43"/>
      <c r="H31" s="43"/>
    </row>
    <row r="32" spans="1:8" ht="12.75">
      <c r="A32" s="42" t="s">
        <v>188</v>
      </c>
      <c r="B32" s="22"/>
      <c r="C32" s="43"/>
      <c r="D32" s="43"/>
      <c r="E32" s="43"/>
      <c r="F32" s="43"/>
      <c r="G32" s="43"/>
      <c r="H32" s="43"/>
    </row>
    <row r="33" spans="1:8" ht="12.75">
      <c r="A33" s="42" t="s">
        <v>189</v>
      </c>
      <c r="B33" s="22"/>
      <c r="C33" s="43"/>
      <c r="D33" s="43"/>
      <c r="E33" s="43"/>
      <c r="F33" s="43"/>
      <c r="G33" s="43"/>
      <c r="H33" s="43"/>
    </row>
    <row r="34" spans="1:8" ht="12.75">
      <c r="A34" s="42" t="s">
        <v>190</v>
      </c>
      <c r="B34" s="22"/>
      <c r="C34" s="43"/>
      <c r="D34" s="43"/>
      <c r="E34" s="43"/>
      <c r="F34" s="43"/>
      <c r="G34" s="43"/>
      <c r="H34" s="43"/>
    </row>
    <row r="35" spans="1:8" ht="12.75">
      <c r="A35" s="42" t="s">
        <v>191</v>
      </c>
      <c r="B35" s="22" t="s">
        <v>75</v>
      </c>
      <c r="C35" s="43">
        <v>6.746992929705051</v>
      </c>
      <c r="D35" s="43">
        <v>6.746992929705051</v>
      </c>
      <c r="E35" s="43">
        <v>6.746992929705051</v>
      </c>
      <c r="F35" s="43">
        <v>6.746992929705051</v>
      </c>
      <c r="G35" s="43">
        <v>6.746992929705051</v>
      </c>
      <c r="H35" s="43">
        <v>6.746992929705051</v>
      </c>
    </row>
    <row r="36" spans="1:8" ht="12.75">
      <c r="A36" s="42" t="s">
        <v>192</v>
      </c>
      <c r="B36" s="22" t="s">
        <v>76</v>
      </c>
      <c r="C36" s="43">
        <v>1.054088531041642</v>
      </c>
      <c r="D36" s="43">
        <v>1.054088531041642</v>
      </c>
      <c r="E36" s="43">
        <v>1.054088531041642</v>
      </c>
      <c r="F36" s="43">
        <v>1.054088531041642</v>
      </c>
      <c r="G36" s="43">
        <v>1.054088531041642</v>
      </c>
      <c r="H36" s="43">
        <v>1.054088531041642</v>
      </c>
    </row>
    <row r="37" spans="1:8" ht="12.75">
      <c r="A37" s="42" t="s">
        <v>193</v>
      </c>
      <c r="B37" s="22"/>
      <c r="C37" s="140" t="s">
        <v>130</v>
      </c>
      <c r="D37" s="140" t="s">
        <v>130</v>
      </c>
      <c r="E37" s="140" t="s">
        <v>130</v>
      </c>
      <c r="F37" s="140" t="s">
        <v>130</v>
      </c>
      <c r="G37" s="140" t="s">
        <v>130</v>
      </c>
      <c r="H37" s="140" t="s">
        <v>130</v>
      </c>
    </row>
    <row r="38" spans="1:8" ht="12.75">
      <c r="A38" s="40" t="s">
        <v>120</v>
      </c>
      <c r="B38" s="17" t="s">
        <v>75</v>
      </c>
      <c r="C38" s="50"/>
      <c r="D38" s="50"/>
      <c r="E38" s="50"/>
      <c r="F38" s="50"/>
      <c r="G38" s="50"/>
      <c r="H38" s="52"/>
    </row>
    <row r="39" spans="1:8" ht="12.75">
      <c r="A39" s="46" t="s">
        <v>121</v>
      </c>
      <c r="B39" s="19" t="s">
        <v>76</v>
      </c>
      <c r="C39" s="53"/>
      <c r="D39" s="53"/>
      <c r="E39" s="53"/>
      <c r="F39" s="53"/>
      <c r="G39" s="53"/>
      <c r="H39" s="47"/>
    </row>
    <row r="41" ht="12.75">
      <c r="A41" s="35" t="s">
        <v>122</v>
      </c>
    </row>
    <row r="42" ht="12.75">
      <c r="A42" s="35" t="s">
        <v>123</v>
      </c>
    </row>
    <row r="43" ht="12.75">
      <c r="A43" s="35" t="s">
        <v>195</v>
      </c>
    </row>
    <row r="44" ht="12.75">
      <c r="A44" s="35" t="s">
        <v>196</v>
      </c>
    </row>
    <row r="45" ht="12.75">
      <c r="A45" s="35" t="s">
        <v>197</v>
      </c>
    </row>
  </sheetData>
  <sheetProtection sheet="1" objects="1" scenarios="1"/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Argenta.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***.</dc:creator>
  <cp:keywords/>
  <dc:description/>
  <cp:lastModifiedBy>Gabriella Romagnoli</cp:lastModifiedBy>
  <cp:lastPrinted>2015-05-15T11:59:38Z</cp:lastPrinted>
  <dcterms:created xsi:type="dcterms:W3CDTF">1999-02-02T00:33:16Z</dcterms:created>
  <dcterms:modified xsi:type="dcterms:W3CDTF">2015-05-15T12:04:10Z</dcterms:modified>
  <cp:category/>
  <cp:version/>
  <cp:contentType/>
  <cp:contentStatus/>
</cp:coreProperties>
</file>